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6" windowHeight="7296" tabRatio="444" activeTab="15"/>
  </bookViews>
  <sheets>
    <sheet name="Anexo I" sheetId="1" r:id="rId1"/>
    <sheet name="AnexoII" sheetId="2" r:id="rId2"/>
    <sheet name="Anexo III" sheetId="3" r:id="rId3"/>
    <sheet name="AnexoIV" sheetId="4" r:id="rId4"/>
    <sheet name="Anexo V" sheetId="5" r:id="rId5"/>
    <sheet name="Nota AV" sheetId="6" r:id="rId6"/>
    <sheet name="Anexo VI" sheetId="7" r:id="rId7"/>
    <sheet name="Anexo VII" sheetId="8" r:id="rId8"/>
    <sheet name="Anexo VIII" sheetId="9" r:id="rId9"/>
    <sheet name="Anexo IX" sheetId="10" r:id="rId10"/>
    <sheet name="Anexo X" sheetId="11" r:id="rId11"/>
    <sheet name="Anexo XI" sheetId="12" r:id="rId12"/>
    <sheet name="Anexo XII" sheetId="13" r:id="rId13"/>
    <sheet name="Anexo XIII" sheetId="14" r:id="rId14"/>
    <sheet name="Anexo XIV" sheetId="15" r:id="rId15"/>
    <sheet name="Anexo XV" sheetId="16" r:id="rId16"/>
  </sheets>
  <definedNames>
    <definedName name="Excel_BuiltIn_Database" localSheetId="9">'Anexo IX'!$A$10:$A$25</definedName>
    <definedName name="Excel_BuiltIn_Database" localSheetId="11">#REF!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<sst xmlns="http://schemas.openxmlformats.org/spreadsheetml/2006/main" count="583" uniqueCount="466">
  <si>
    <t>Anexo I</t>
  </si>
  <si>
    <t>PRESUPUESTO PLURIANUAL 2007 - 2009</t>
  </si>
  <si>
    <t>ADMINISTRACION PROVINCIAL</t>
  </si>
  <si>
    <t xml:space="preserve">ESQUEMA AHORRO - INVERSION -  FINANCIAMIENTO </t>
  </si>
  <si>
    <t>CONCEPTO</t>
  </si>
  <si>
    <t xml:space="preserve"> I) Ingresos Corrientes</t>
  </si>
  <si>
    <t>II) Gastos  Corrientes</t>
  </si>
  <si>
    <t>III) Resultado Económico (Ahorro) (I-II)</t>
  </si>
  <si>
    <t>IV) Recursos de Capital</t>
  </si>
  <si>
    <t>V) Gastos de Capital</t>
  </si>
  <si>
    <t>VI) Inversión (V-IV)</t>
  </si>
  <si>
    <t xml:space="preserve">      TOTAL DE RECURSOS</t>
  </si>
  <si>
    <t xml:space="preserve">      TOTAL DE GASTOS</t>
  </si>
  <si>
    <t>VII) Resultado Financiero  antes</t>
  </si>
  <si>
    <t xml:space="preserve">      de Contribuciones (III-VI)</t>
  </si>
  <si>
    <t>VIII) Contribuciones Figurativas</t>
  </si>
  <si>
    <t>IX) Gastos Figurativos</t>
  </si>
  <si>
    <t>X) Resultado Financiero (VII+VIII-IX)</t>
  </si>
  <si>
    <t>XI) Fuentes Financieras</t>
  </si>
  <si>
    <r>
      <t xml:space="preserve">       </t>
    </r>
    <r>
      <rPr>
        <b/>
        <sz val="9"/>
        <rFont val="Arial"/>
        <family val="0"/>
      </rPr>
      <t>Disminución de la Inv. Financiera</t>
    </r>
  </si>
  <si>
    <t xml:space="preserve">       Endeudamiento Público e Incremento otros pasivos</t>
  </si>
  <si>
    <t xml:space="preserve">       Contribuciones Figurativas para Aplicaciones Financieras</t>
  </si>
  <si>
    <t>XII) Aplicaciones Financieras</t>
  </si>
  <si>
    <t xml:space="preserve">         Inversión Financiera</t>
  </si>
  <si>
    <r>
      <t xml:space="preserve">       </t>
    </r>
    <r>
      <rPr>
        <b/>
        <sz val="9"/>
        <rFont val="Arial"/>
        <family val="2"/>
      </rPr>
      <t>Amortiz. de la Deuda y Dism. De Otros Pasivos</t>
    </r>
  </si>
  <si>
    <t xml:space="preserve">        Gastos Figurativos para aplicaciones financieras</t>
  </si>
  <si>
    <t>XIII) Resultado Final (X+XI-XII)</t>
  </si>
  <si>
    <t>Anexo II</t>
  </si>
  <si>
    <t>COMPOSICION DE LOS RECURSOS POR RUBRO</t>
  </si>
  <si>
    <t xml:space="preserve">CONCEPTOS      </t>
  </si>
  <si>
    <t>INGRESOS TRIBUTARIOS</t>
  </si>
  <si>
    <t>SOBRE LOS INGRESOS</t>
  </si>
  <si>
    <t>GANANCIAS</t>
  </si>
  <si>
    <t>SOBRE EL PATRIMONIO</t>
  </si>
  <si>
    <t>ACTIVOS</t>
  </si>
  <si>
    <t>IMPUESTO INMOBILIARIO</t>
  </si>
  <si>
    <t xml:space="preserve">PATENTE UNICA S/VEHICULOS </t>
  </si>
  <si>
    <t>BIENES PERSONALES</t>
  </si>
  <si>
    <t>SOBRE LA PRODUCCION EL CONSUMO Y LAS TRANSACCIONES</t>
  </si>
  <si>
    <t>VALOR AGREGADO</t>
  </si>
  <si>
    <t>INTERNOS UNIFICADOS</t>
  </si>
  <si>
    <t>COMBUSTIBLES LIQUIDOS</t>
  </si>
  <si>
    <t>IMPUESTOS DE SELLOS Y TASAS RETRIB. DE SERVICIOS</t>
  </si>
  <si>
    <t>IMPUESTOS SOBRE LOS INGRESOS BRUTOS</t>
  </si>
  <si>
    <t>OTROS TRIBUTOS DE ORIGEN NACIONAL</t>
  </si>
  <si>
    <t>OTROS TRIBUTOS DE ORIGEN PROVINCIAL</t>
  </si>
  <si>
    <t>REGIMENES DE GARANTIA Y FONDOS NACIONALES</t>
  </si>
  <si>
    <t>INGRESOS NO TRIBUTARIOS</t>
  </si>
  <si>
    <t>CONTRIBUCIONES</t>
  </si>
  <si>
    <t>CAJA DE JUBILACIONES Y PENSIONES DE LA PROVINCIA</t>
  </si>
  <si>
    <t>APORTES PERSONALES</t>
  </si>
  <si>
    <t>CONTRIBUCIONES PATRONALES</t>
  </si>
  <si>
    <t>OTROS</t>
  </si>
  <si>
    <t>INSTITUTO AUTÁRQUICO PROVINCIAL DE OBRA SOCIAL</t>
  </si>
  <si>
    <t>OTRAS ENTIDADES</t>
  </si>
  <si>
    <t>VENTA DE BIENES Y SERVICIOS DE ADMINISTRACION PROVINCIAL</t>
  </si>
  <si>
    <t>RENTA DE LA PROPIEDAD</t>
  </si>
  <si>
    <t>TRANSFERENCIAS CORRIENTES</t>
  </si>
  <si>
    <t>RECURSOS PROPIOS DE CAPITAL</t>
  </si>
  <si>
    <t>TRANSFERENCIAS DE CAPITAL</t>
  </si>
  <si>
    <t>RECUPERACION DE PRESTAMOS DE CORTO PLAZO</t>
  </si>
  <si>
    <t>RECUPERACION DE PRESTAMOS DE LARGO PLAZO</t>
  </si>
  <si>
    <t>TOTAL</t>
  </si>
  <si>
    <t>Anexo III</t>
  </si>
  <si>
    <t xml:space="preserve">CALCULO DE RECURSOS POR NATURALEZA ECONOMICA </t>
  </si>
  <si>
    <t>Económica</t>
  </si>
  <si>
    <t>INGRESOS CORRIENTES</t>
  </si>
  <si>
    <t xml:space="preserve">          IMPUESTOS DIRECTOS PROVINCIALES</t>
  </si>
  <si>
    <t xml:space="preserve">          IMPUESTOS INDIRECTOS PROVINCIALES</t>
  </si>
  <si>
    <t xml:space="preserve">          IMPUESTOS NACIONALES</t>
  </si>
  <si>
    <t xml:space="preserve">    CONTRIBUCIONES A LA SEGURIDAD SOCIAL</t>
  </si>
  <si>
    <t xml:space="preserve">    INGRESOS NO TRIBUTARIOS</t>
  </si>
  <si>
    <t xml:space="preserve">          TASAS</t>
  </si>
  <si>
    <t xml:space="preserve">          DERECHOS</t>
  </si>
  <si>
    <t xml:space="preserve">          OTROS NO TRIBUTARIOS</t>
  </si>
  <si>
    <t xml:space="preserve">     VENTAS DE BIENES Y SERV. DE LA ADM. PUB.</t>
  </si>
  <si>
    <t xml:space="preserve">     RENTAS DE LA PROPIEDAD</t>
  </si>
  <si>
    <t xml:space="preserve">           INTERESES</t>
  </si>
  <si>
    <t xml:space="preserve">           ARRENDAMIENTO DE TIERRAS Y TERRENOS</t>
  </si>
  <si>
    <t xml:space="preserve">           DIFERENCIA DE CAMBIO</t>
  </si>
  <si>
    <t xml:space="preserve">     TRANSFERENCIAS CORRIENTES</t>
  </si>
  <si>
    <t xml:space="preserve">           DEL SECTOR PUBLICO</t>
  </si>
  <si>
    <t>RECURSOS DE CAPITAL</t>
  </si>
  <si>
    <t xml:space="preserve">     RECURSOS PROPIOS DE CAPITAL</t>
  </si>
  <si>
    <t xml:space="preserve">            VENTA DE ACTIVOS</t>
  </si>
  <si>
    <t xml:space="preserve">     TRANSFERENCIAS DE CAPITAL</t>
  </si>
  <si>
    <t xml:space="preserve">            DEL SECTOR PRIVADO</t>
  </si>
  <si>
    <t xml:space="preserve">            DEL SECTOR PUBLICO</t>
  </si>
  <si>
    <t xml:space="preserve">      DISMINUCION DE LA INVERSION FINANCIERA</t>
  </si>
  <si>
    <t xml:space="preserve">             RECUPERACION DE PRESTAMOS DE CORTO PLAZO</t>
  </si>
  <si>
    <t xml:space="preserve">             RECUPERACION DE PRESTAMOS DE LARGO PLAZO</t>
  </si>
  <si>
    <r>
      <t xml:space="preserve">  </t>
    </r>
    <r>
      <rPr>
        <sz val="8"/>
        <rFont val="Lucida Sans Unicode"/>
        <family val="0"/>
      </rPr>
      <t xml:space="preserve"> </t>
    </r>
    <r>
      <rPr>
        <sz val="8"/>
        <rFont val="Arial"/>
        <family val="2"/>
      </rPr>
      <t>INGRESOS TRIBUTARIOS</t>
    </r>
  </si>
  <si>
    <t>Anexo IV</t>
  </si>
  <si>
    <t>COMPOSICION DE LOS RECURSOS POR PROCEDENCIA</t>
  </si>
  <si>
    <t>DE ORIGEN PROVINCIAL</t>
  </si>
  <si>
    <t xml:space="preserve">    DE LIBRE DISPONIBILIDAD</t>
  </si>
  <si>
    <t xml:space="preserve">    AFECTADOS</t>
  </si>
  <si>
    <t>DE ORIGEN NACIONAL</t>
  </si>
  <si>
    <t xml:space="preserve">        - Régimen de Coparticipación Federal de Impuestos</t>
  </si>
  <si>
    <t xml:space="preserve">        - Seguridad Social a Cajas Provinciales y Municipales</t>
  </si>
  <si>
    <t xml:space="preserve">        - Fondo Cooperativas                                                                                    </t>
  </si>
  <si>
    <t xml:space="preserve">        - Fondo compensador de Desequilibrios Fiscales</t>
  </si>
  <si>
    <t xml:space="preserve">          Seguridad Social a Cajas Provinciales y Municipales</t>
  </si>
  <si>
    <t xml:space="preserve">          Fondo Cooperativas</t>
  </si>
  <si>
    <t xml:space="preserve">        - Serv. Nac. Transferidos</t>
  </si>
  <si>
    <t xml:space="preserve">              Servicios Nacionales Transferidos - Educación</t>
  </si>
  <si>
    <t xml:space="preserve">              Servicios Nacionales Transferidos - Salud</t>
  </si>
  <si>
    <t xml:space="preserve">              Servicios Nacionales Transferidos - Programas Asistenciales</t>
  </si>
  <si>
    <t xml:space="preserve">         - Combustible - Ley N° 23.966</t>
  </si>
  <si>
    <t xml:space="preserve">               Fondo Obra de Infraestructura Ley 23.966</t>
  </si>
  <si>
    <t xml:space="preserve">               Fondo Emergencia Social - Conurbano</t>
  </si>
  <si>
    <t xml:space="preserve">               FONAVI - Ley 23966</t>
  </si>
  <si>
    <t xml:space="preserve">               Coparticipación Vial</t>
  </si>
  <si>
    <t xml:space="preserve">         - Otros - Ley N° 24.621 Ganancias</t>
  </si>
  <si>
    <t xml:space="preserve">               Fondo de Infraestructura Básica Social (NBI)</t>
  </si>
  <si>
    <t xml:space="preserve">               Excedente Conurbano</t>
  </si>
  <si>
    <t xml:space="preserve">         - Otros </t>
  </si>
  <si>
    <t xml:space="preserve">         - Fondo Financiamiento Caja de Jubilaciones y Pensiones de la Provincia</t>
  </si>
  <si>
    <t xml:space="preserve">         - Compensación 13%</t>
  </si>
  <si>
    <t xml:space="preserve">    AFECTADOS LIBERADOS</t>
  </si>
  <si>
    <t xml:space="preserve">          FONAVI- Ley N° 23966</t>
  </si>
  <si>
    <t xml:space="preserve">          Fondo Obra Infraestructura Ley Nº 23966</t>
  </si>
  <si>
    <t xml:space="preserve">          Fondo Conurbano</t>
  </si>
  <si>
    <t xml:space="preserve">          Coparticipación Vial</t>
  </si>
  <si>
    <t xml:space="preserve">          Fondo Infraestructura Básica Social Ley Nº 24621-(NBI-Ganancias)</t>
  </si>
  <si>
    <t xml:space="preserve">          Excedente de Coparticipación inc. 8 - Pacto Federal</t>
  </si>
  <si>
    <t xml:space="preserve">          Fondo Educativo Impuesto a los Activos</t>
  </si>
  <si>
    <t xml:space="preserve">   AFECTADOS LIBERADOS</t>
  </si>
  <si>
    <t xml:space="preserve">         FONAVI  Ley N° 23966</t>
  </si>
  <si>
    <t xml:space="preserve">         Fondo Educativo Ley N° 23906</t>
  </si>
  <si>
    <t xml:space="preserve">         Fondo Infraestructura Básica Social Ley N° 24621</t>
  </si>
  <si>
    <t xml:space="preserve">         Fondo Obra Infraestructura Ley 23966</t>
  </si>
  <si>
    <t xml:space="preserve">         Organismo Vialidad Provincial Ley N° 23966</t>
  </si>
  <si>
    <t xml:space="preserve">         Excedente de Coparticipación Federal</t>
  </si>
  <si>
    <t xml:space="preserve">         PO.SO.CO  (Salud y Promoción Comunitaria)</t>
  </si>
  <si>
    <t xml:space="preserve">         PROSONUT.</t>
  </si>
  <si>
    <t xml:space="preserve">         Fondo Conurbano</t>
  </si>
  <si>
    <t xml:space="preserve">          Fondo Educativo Ley Nº 23906</t>
  </si>
  <si>
    <t xml:space="preserve">          Sist.Seguridad Social Ley Nº 23966 - Ganancia e IVA.</t>
  </si>
  <si>
    <t xml:space="preserve">          Excedente de Coparticipación Federal</t>
  </si>
  <si>
    <t xml:space="preserve">          Servicios Nacionales Transferidos. Educación</t>
  </si>
  <si>
    <t xml:space="preserve">          Servicios Nacionales Transferidos. Salud</t>
  </si>
  <si>
    <t xml:space="preserve">          Servicios Nacionales Transferidos. Programas Asistenciales</t>
  </si>
  <si>
    <t xml:space="preserve">          Fondo Emergencia Social - Conurbano</t>
  </si>
  <si>
    <t xml:space="preserve">        - Fondo Nacional Incentivo Docente</t>
  </si>
  <si>
    <t xml:space="preserve">        - Artículo 7° Ley Nacional 26075 Asistencia Educativa</t>
  </si>
  <si>
    <t xml:space="preserve">        - Otros</t>
  </si>
  <si>
    <t>OTROS ORÍGENES</t>
  </si>
  <si>
    <t>TOTAL GENERAL</t>
  </si>
  <si>
    <t>Anexo V</t>
  </si>
  <si>
    <t>ESTIMACION DE GASTOS TRIBUTARIOS</t>
  </si>
  <si>
    <t xml:space="preserve"> AÑOS 2007 - 2008 - 2009</t>
  </si>
  <si>
    <t>IMPUESTO</t>
  </si>
  <si>
    <t>NORMA LEGAL</t>
  </si>
  <si>
    <t>IMPUESTO SOBRE LOS INGRESOS BRUTOS</t>
  </si>
  <si>
    <t>Exenciones subjetivas</t>
  </si>
  <si>
    <t>Código Fiscal Provincial(to.1997) Art.159</t>
  </si>
  <si>
    <t>Exenciones objetivas</t>
  </si>
  <si>
    <t>Código Fiscal Provincial(to.1997) Art.160</t>
  </si>
  <si>
    <t>Deducciones</t>
  </si>
  <si>
    <t>Código Fiscal Provincial(to.1997) Art.154</t>
  </si>
  <si>
    <t>Leyes Especiales</t>
  </si>
  <si>
    <t>Código Fiscal Provincial(to.1997) Art.114</t>
  </si>
  <si>
    <t>Ley N° 8478-Dto.3856/79 y Modif.</t>
  </si>
  <si>
    <t>Otras Leyes Especiales</t>
  </si>
  <si>
    <t>Leyes 9316, 6640, 6808, 9800, 10014,</t>
  </si>
  <si>
    <t>11606 y Otras.</t>
  </si>
  <si>
    <t>PATENTE AUTOMOTOR</t>
  </si>
  <si>
    <t xml:space="preserve">Exenciones </t>
  </si>
  <si>
    <t>Código Fiscal Provincial(to.1997) Art.277</t>
  </si>
  <si>
    <t>Leyes 5356 (Art. 43), 10014 y 11502</t>
  </si>
  <si>
    <t>SELLOS</t>
  </si>
  <si>
    <t>APORTES SOCIALES -LEY 5110</t>
  </si>
  <si>
    <t xml:space="preserve"> Desgravación</t>
  </si>
  <si>
    <t>Art. 28 Ley 5110</t>
  </si>
  <si>
    <r>
      <t xml:space="preserve">Ley N° 8478-Dto.3856/79 y Modif. </t>
    </r>
    <r>
      <rPr>
        <sz val="12"/>
        <rFont val="Arial"/>
        <family val="2"/>
      </rPr>
      <t>(Prom Ind)</t>
    </r>
  </si>
  <si>
    <t>Anexo VI</t>
  </si>
  <si>
    <t>CLASIFICACIÓN INSTITUCIONAL  -  EROGACIONES</t>
  </si>
  <si>
    <t>RUBRO</t>
  </si>
  <si>
    <t>2007</t>
  </si>
  <si>
    <t>PARTICIPACION PORCENTUAL 2007</t>
  </si>
  <si>
    <t>2008</t>
  </si>
  <si>
    <t>PARTICIPACION PORCENTUAL 2008</t>
  </si>
  <si>
    <t>2009</t>
  </si>
  <si>
    <t>PARTICIPACION PORCENTUAL 2009</t>
  </si>
  <si>
    <t>ADMINISTRACION CENTRAL</t>
  </si>
  <si>
    <t>01 - Poder Legislativo</t>
  </si>
  <si>
    <t xml:space="preserve">       Cámara de Senadores</t>
  </si>
  <si>
    <t xml:space="preserve">       Cámara de Diputados</t>
  </si>
  <si>
    <t xml:space="preserve">       Tribunal de Cuentas de la Provincia</t>
  </si>
  <si>
    <t>05 - Poder Judicial</t>
  </si>
  <si>
    <t>06 - Poder Ejecutivo - Gobernación</t>
  </si>
  <si>
    <t>10 - Ministerio de Coordinador</t>
  </si>
  <si>
    <t>20 - Ministerio de Gobierno, Justicia y Culto</t>
  </si>
  <si>
    <t>30 - Ministerio de Agric., Ganad., Industria y Cio</t>
  </si>
  <si>
    <t>35 - Ministerio de Hacienda y Finanzas</t>
  </si>
  <si>
    <t>40 - Ministerio de Educación</t>
  </si>
  <si>
    <t>50 - Ministerio de Salud</t>
  </si>
  <si>
    <t>60 - Ministerio de Obras, Serv. Pcos. y Vivienda</t>
  </si>
  <si>
    <t>61 - Ministerio de Asuntos Hídricos</t>
  </si>
  <si>
    <t>65 - Secretaría de Estado de Medio Amb. Y Des.Sust.</t>
  </si>
  <si>
    <t>70 - Secretaría de Estado de Trabajo y Seg. Soc.</t>
  </si>
  <si>
    <t>75 - Secretaría de Estado de Promoción Comunit.</t>
  </si>
  <si>
    <t>76 - Secretaría de Estado de Derechos Humanos</t>
  </si>
  <si>
    <t>80 - Tribunal de Cuentas</t>
  </si>
  <si>
    <t>85 - Fiscalía de Estado</t>
  </si>
  <si>
    <t>86 - Defensoría del Pueblo</t>
  </si>
  <si>
    <t>90 - Servicio de la Deuda Pública</t>
  </si>
  <si>
    <t>91 - Obligaciones a Cargo del Tesoro</t>
  </si>
  <si>
    <t>Coparticipación a MM.CC.</t>
  </si>
  <si>
    <t>Aporte privatización Banco Santa Fe</t>
  </si>
  <si>
    <t>Pago servicio energía y agua</t>
  </si>
  <si>
    <t>Aporte sustitutivo seguridad social</t>
  </si>
  <si>
    <t>Partidas varias</t>
  </si>
  <si>
    <t>ORGANISMOS DESCENTRALIZADOS</t>
  </si>
  <si>
    <t>20-01 - Inst. Autárq. Pcial de Industrias Penitenc.</t>
  </si>
  <si>
    <t>30-01 - Ente Zona Franca Santafesina</t>
  </si>
  <si>
    <t>35-01 - Administración Provincial de Impuestos</t>
  </si>
  <si>
    <t>35-02 - Serv. de Catastro e Inform. Territorial</t>
  </si>
  <si>
    <t>35-03 - Caja de Asistencia Social - Lotería</t>
  </si>
  <si>
    <t>60-01 - Dirección Provincial de Vialidad</t>
  </si>
  <si>
    <t>60-02 - Dirección Pcial de Vivienda y Urbanismo</t>
  </si>
  <si>
    <t>60-03 - Aeropuerto Internacional de Rosario</t>
  </si>
  <si>
    <t xml:space="preserve">60-04 - Ente Regulador de Servicios Sanitarios </t>
  </si>
  <si>
    <t>INSTITUCIONES DE SEGURIDAD SOCIAL</t>
  </si>
  <si>
    <t xml:space="preserve">70-01 - Caja de Jubilaciones y Pens. de la Pcia. </t>
  </si>
  <si>
    <t>70-02 - I.A.P.O.S.</t>
  </si>
  <si>
    <t>Anexo VII</t>
  </si>
  <si>
    <t>COMPOSICIÓN DE GASTOS POR FINALIDAD</t>
  </si>
  <si>
    <t>Finalidad</t>
  </si>
  <si>
    <t>Administración Gubernamental</t>
  </si>
  <si>
    <t xml:space="preserve">   Legislativa</t>
  </si>
  <si>
    <t xml:space="preserve">   Judicial</t>
  </si>
  <si>
    <t xml:space="preserve">   Direccíon Superior Ejecutiva</t>
  </si>
  <si>
    <t xml:space="preserve">   Relaciones Interiores</t>
  </si>
  <si>
    <t xml:space="preserve">   Administración Fiscal</t>
  </si>
  <si>
    <t xml:space="preserve">   Control de la Gestión Pública</t>
  </si>
  <si>
    <t xml:space="preserve">   Información y Estadística Básica</t>
  </si>
  <si>
    <t>Servicios de Seguridad</t>
  </si>
  <si>
    <t xml:space="preserve">   Seguridad Interior</t>
  </si>
  <si>
    <t xml:space="preserve">   Sistema Penal</t>
  </si>
  <si>
    <t>Servicios Sociales</t>
  </si>
  <si>
    <t xml:space="preserve">   Salud</t>
  </si>
  <si>
    <t xml:space="preserve">   Promoción y Asistencia Social</t>
  </si>
  <si>
    <t xml:space="preserve">   Seguridad Social</t>
  </si>
  <si>
    <t xml:space="preserve">   Educación y Cultura</t>
  </si>
  <si>
    <t xml:space="preserve">   Trabajo</t>
  </si>
  <si>
    <t xml:space="preserve">   Vivienda y Urbanismo</t>
  </si>
  <si>
    <t xml:space="preserve">   Agua Potable y Alcantarillado</t>
  </si>
  <si>
    <t>Servicios Económicos</t>
  </si>
  <si>
    <t xml:space="preserve">   Comunicaciones</t>
  </si>
  <si>
    <t xml:space="preserve">   Transporte</t>
  </si>
  <si>
    <t xml:space="preserve">   Ecología y Medio Ambiente</t>
  </si>
  <si>
    <t xml:space="preserve">   Agricultura</t>
  </si>
  <si>
    <t xml:space="preserve">   Industria</t>
  </si>
  <si>
    <t xml:space="preserve">   Comercio y Turismo</t>
  </si>
  <si>
    <t xml:space="preserve">   Seguros y Finanzas</t>
  </si>
  <si>
    <t>Deuda Pública</t>
  </si>
  <si>
    <t xml:space="preserve">   Servicio de la Deuda Pública</t>
  </si>
  <si>
    <t>Anexo VIII</t>
  </si>
  <si>
    <t>COMPOSICIÓN  DEL GASTO POR  FINALIDAD Y FUNCION</t>
  </si>
  <si>
    <t>FINALIDAD</t>
  </si>
  <si>
    <t>FUNCION</t>
  </si>
  <si>
    <t>SUBFUNCION</t>
  </si>
  <si>
    <t>ADMINISTRACION GUBERNAMENTAL</t>
  </si>
  <si>
    <t>Legislativa</t>
  </si>
  <si>
    <t>Judicial</t>
  </si>
  <si>
    <t>Dirección Superior Ejecutiva</t>
  </si>
  <si>
    <t>Relaciones Interiores</t>
  </si>
  <si>
    <t>Administración Fiscal</t>
  </si>
  <si>
    <t>Control de la Gestión Pública</t>
  </si>
  <si>
    <t>Información y Estadística Básica</t>
  </si>
  <si>
    <t>SERVICIOS DE SEGURIDAD</t>
  </si>
  <si>
    <t>Seguridad Interior</t>
  </si>
  <si>
    <t>Sistema Penal</t>
  </si>
  <si>
    <t>SERVICIOS SOCIALES</t>
  </si>
  <si>
    <t>Salud</t>
  </si>
  <si>
    <t>Promoción y Asistencia Social</t>
  </si>
  <si>
    <t>Seguridad Social</t>
  </si>
  <si>
    <t>Educación y Cultura</t>
  </si>
  <si>
    <t>Educación Elemental</t>
  </si>
  <si>
    <t>Educación Media y Técnica</t>
  </si>
  <si>
    <t>Educación Superior y Universitaria</t>
  </si>
  <si>
    <t>Cultura</t>
  </si>
  <si>
    <t>Deporte y Recreación</t>
  </si>
  <si>
    <t>Administración de la Educación</t>
  </si>
  <si>
    <t>Ciencia y Técnica</t>
  </si>
  <si>
    <t>Trabajo</t>
  </si>
  <si>
    <t>Vivienda y Urbanismo</t>
  </si>
  <si>
    <t>Agua Potable y Alcantarillado</t>
  </si>
  <si>
    <t>Otros Servicios Urbanos</t>
  </si>
  <si>
    <t>SERVICIOS ECONOMICOS</t>
  </si>
  <si>
    <t xml:space="preserve">Comunicaciones </t>
  </si>
  <si>
    <t>Transporte</t>
  </si>
  <si>
    <t>Ecología y medio ambiente</t>
  </si>
  <si>
    <t>Agricultura</t>
  </si>
  <si>
    <t>Industria</t>
  </si>
  <si>
    <t>Comercio, Turismo y otros Servicios</t>
  </si>
  <si>
    <t>Seguro y Finanzas</t>
  </si>
  <si>
    <t>DEUDA PUBLICA</t>
  </si>
  <si>
    <t>Servicios de la Deuda Pública</t>
  </si>
  <si>
    <t>Anexo IX</t>
  </si>
  <si>
    <t xml:space="preserve">COMPOSICION DEL GASTO POR NATURALEZA ECONOMICA </t>
  </si>
  <si>
    <t>GASTOS CORRIENTES</t>
  </si>
  <si>
    <t xml:space="preserve">   GASTOS DE CONSUMO</t>
  </si>
  <si>
    <t xml:space="preserve">      REMUNERACIONES</t>
  </si>
  <si>
    <t xml:space="preserve">      BIENES Y SERVICIOS</t>
  </si>
  <si>
    <t xml:space="preserve">      PREVISIONES Y RESERVAS TECNICAS</t>
  </si>
  <si>
    <t xml:space="preserve">  RENTAS DE LA PROPIEDAD</t>
  </si>
  <si>
    <t xml:space="preserve">    INTERESES</t>
  </si>
  <si>
    <t xml:space="preserve">    ARRENDAMIENTO DE TIERRAS Y TERRENOS</t>
  </si>
  <si>
    <t xml:space="preserve">    DERECHOS SOBRE BIENES INTANGIBLES</t>
  </si>
  <si>
    <t xml:space="preserve">  PRESTACIONES DE LA SEGURIDAD SOCIAL</t>
  </si>
  <si>
    <t xml:space="preserve">  IMPUESTOS DIRECTOS</t>
  </si>
  <si>
    <t xml:space="preserve">  OTRAS PERDIDAS</t>
  </si>
  <si>
    <t xml:space="preserve">  TRANSFERENCIAS CORRIENTES</t>
  </si>
  <si>
    <t xml:space="preserve">    AL SECTOR PRIVADO</t>
  </si>
  <si>
    <t xml:space="preserve">    AL SECTOR PÚBLICO</t>
  </si>
  <si>
    <t>GASTOS DE CAPITAL</t>
  </si>
  <si>
    <t xml:space="preserve">  INVERSION REAL DIRECTA</t>
  </si>
  <si>
    <t xml:space="preserve">      FORMACION BRUTA DE CAPITAL FIJO</t>
  </si>
  <si>
    <t xml:space="preserve">      TIERRAS Y TERRENOS</t>
  </si>
  <si>
    <t xml:space="preserve">      ACTIVOS INTANGIBLES</t>
  </si>
  <si>
    <t xml:space="preserve"> TRANSFERENCIAS DE CAPITAL</t>
  </si>
  <si>
    <t xml:space="preserve">      AL SECTOR PRIVADO</t>
  </si>
  <si>
    <t xml:space="preserve">      AL SECTOR PUBLICO</t>
  </si>
  <si>
    <t xml:space="preserve"> INVERSION FINANCIERA</t>
  </si>
  <si>
    <t xml:space="preserve">     APORTES DE CAPITAL</t>
  </si>
  <si>
    <t xml:space="preserve">    CONCESION DE PRESTAMOS DE C. PLAZO</t>
  </si>
  <si>
    <t xml:space="preserve">     CONCESION DE PRESTAMOS DE L. PLAZO</t>
  </si>
  <si>
    <t>Anexo X</t>
  </si>
  <si>
    <t>COMPOSICION DEL GASTO POR OBJETO</t>
  </si>
  <si>
    <t>INCISO</t>
  </si>
  <si>
    <t>GASTOS EN PERSONAL</t>
  </si>
  <si>
    <t>BIENES DE CONSUMO</t>
  </si>
  <si>
    <t>SERVICIOS NO PERSONALES</t>
  </si>
  <si>
    <t>BIENES DE USO</t>
  </si>
  <si>
    <t>INVERSION REAL</t>
  </si>
  <si>
    <t>TRANSFERENCIAS</t>
  </si>
  <si>
    <t>ACTIVOS FINANCIEROS</t>
  </si>
  <si>
    <t>INTERESES DE LA DEUDA</t>
  </si>
  <si>
    <t>OTROS GASTOS</t>
  </si>
  <si>
    <t>TOTAL GASTO CORRIENTE Y DE CAPITAL</t>
  </si>
  <si>
    <t>APLICACIONES FINANCIERAS</t>
  </si>
  <si>
    <t>GASTOS FIGURATIVOS</t>
  </si>
  <si>
    <t>(ANEXOS 6 AL ART 3 Y 10 AL ART. 4 DE LA LEY)</t>
  </si>
  <si>
    <t>Anexo XI</t>
  </si>
  <si>
    <t>COMPOSICIÓN DEL GASTO - COPARTICIPACIÓN A MUNICIPIOS Y COMUNAS</t>
  </si>
  <si>
    <t>JURISDICCIÓN:      OBLIGACIONES A CARGO DEL TESORO</t>
  </si>
  <si>
    <t>Participación Impuestos a  Municipios y Comunas</t>
  </si>
  <si>
    <t xml:space="preserve">                 Régimen Federal</t>
  </si>
  <si>
    <t xml:space="preserve">                 Ingresos Brutos</t>
  </si>
  <si>
    <t xml:space="preserve">                 Impuesto Inmobiliario</t>
  </si>
  <si>
    <t xml:space="preserve"> TOTALES</t>
  </si>
  <si>
    <t>Anexo XII</t>
  </si>
  <si>
    <t>FUENTES FINANCIERAS</t>
  </si>
  <si>
    <t xml:space="preserve"> FUENTES FINANCIERAS</t>
  </si>
  <si>
    <t>A-  DISMINUCION DE LA INVERSION FINANCIERA</t>
  </si>
  <si>
    <t xml:space="preserve">       VENTA DE TÍTULOS Y VALORES</t>
  </si>
  <si>
    <t>B-  ENDEUDAM. PUBL. E INCREM. OTROS PASIVOS</t>
  </si>
  <si>
    <t xml:space="preserve">       INCREMENTO OTROS PASIVOS</t>
  </si>
  <si>
    <t xml:space="preserve">            Fondo Fiduciario Ley 12.422</t>
  </si>
  <si>
    <t xml:space="preserve">      COLOCACIÓN DEUDA INTERNA A LARGO PLAZO</t>
  </si>
  <si>
    <t xml:space="preserve">3.     COLOCACION DE DEUDA INT. A LARGO PLAZO </t>
  </si>
  <si>
    <t xml:space="preserve">           Bonos Previsionales Ley 11373 y 11696</t>
  </si>
  <si>
    <t xml:space="preserve">      OBTENCION DE PRESTAMOS A LARGO PLAZO</t>
  </si>
  <si>
    <t xml:space="preserve">           Programa de Servicios Básicos Municipales - PROMUDI  II - BIRF (*1)</t>
  </si>
  <si>
    <t xml:space="preserve">           PRODISM - BID</t>
  </si>
  <si>
    <t xml:space="preserve">           Préstamo  BIRF - Prog. Prevenc. Inundac. y Drenaje Urbano (PIDU) (*1)</t>
  </si>
  <si>
    <t xml:space="preserve">           Préstamo  BIRF - Autovía Ruta Nacional 19 - Ley 12653</t>
  </si>
  <si>
    <t xml:space="preserve">           Acueductos - Ley 12668</t>
  </si>
  <si>
    <t xml:space="preserve">           PROMEBA  -  BID</t>
  </si>
  <si>
    <t xml:space="preserve">           Reconversion del puerto de Santa Fe - FONPLATA</t>
  </si>
  <si>
    <t xml:space="preserve">           Prog. Moderniz. de la Gestión - Prog. de San. Fin  - BIRF - Ley 12546</t>
  </si>
  <si>
    <t xml:space="preserve">           Préstamo  BIRF - Prog. Infraestructura Vial Provincial -  Ley 12515</t>
  </si>
  <si>
    <t>Nota: No incluye Contribuciones Figurativas</t>
  </si>
  <si>
    <t>(*1) Los Préstamos  para el Programa de Servicios Básicos Municipales y para el Proyecto de Prevención Inundaciones y Drenaje Urbano (PIDU) sólo cuentan con aprobación del Directorio del BIRF. Restan la suscripción de los Convenios de Préstamo Nación - BI</t>
  </si>
  <si>
    <t>Anexo XIII</t>
  </si>
  <si>
    <t xml:space="preserve">  INVERSIÓN FINANCIERA </t>
  </si>
  <si>
    <t xml:space="preserve">     ADQUISICIÓN TITULOS Y VALORES</t>
  </si>
  <si>
    <t xml:space="preserve">     INCREMENTO DE OTROS ACTIVOS FINANCIEROS</t>
  </si>
  <si>
    <t xml:space="preserve">   INVERSION FINANCIERA</t>
  </si>
  <si>
    <t xml:space="preserve">        ADQUISICION DE TITULOS Y VALORES</t>
  </si>
  <si>
    <t xml:space="preserve">        INCREMENTO DE OTROS ACTIVOS FINANCIEROS</t>
  </si>
  <si>
    <t xml:space="preserve">                     INCREMENTO DE DISPONIBILIDADES</t>
  </si>
  <si>
    <t xml:space="preserve">                     INCREMENTO DE ACTIVOS DIFERIDOS</t>
  </si>
  <si>
    <t xml:space="preserve">    AMORTIZACION DE DEUDA Y DISMINUC. OTROS PASIVOS</t>
  </si>
  <si>
    <t xml:space="preserve">          AMORTIZACION DE DEUDA INTERNA A C/ PLAZO</t>
  </si>
  <si>
    <t xml:space="preserve">    AMORTIZACION DE PRESTAMO A C/PLAZO</t>
  </si>
  <si>
    <t xml:space="preserve">           DEL SECTOR PRIVADO</t>
  </si>
  <si>
    <t xml:space="preserve">          DISMINUCION DE OTROS PASIVOS</t>
  </si>
  <si>
    <t xml:space="preserve">           DISMINUCIÓN DE PASIVOS DIFERIDOS</t>
  </si>
  <si>
    <t xml:space="preserve">                   DISMINUCION DE CUENTAS A PAGAR</t>
  </si>
  <si>
    <t xml:space="preserve">                   DISMINUCION DE DOCUMENTOS A PAGAR</t>
  </si>
  <si>
    <t xml:space="preserve">           AMORTIZACION DE DEUDA INTERNA A L/PLAZO</t>
  </si>
  <si>
    <t xml:space="preserve">           AMORTIZACION DE PRESTAMO A L/PLAZO</t>
  </si>
  <si>
    <t xml:space="preserve">                   DEL SECTOR PRIVADO</t>
  </si>
  <si>
    <t xml:space="preserve">                   DEL SECTOR PÚBLICO</t>
  </si>
  <si>
    <t xml:space="preserve">                   AL SECTOR EXTERNO</t>
  </si>
  <si>
    <t>Nota: No incluye Gastos Figurativos</t>
  </si>
  <si>
    <t>ANEXO XV</t>
  </si>
  <si>
    <t>PRESUPUESTO PLURIANUAL 2007-2008-2009</t>
  </si>
  <si>
    <t>PERFIL DE VENCIMIENTOS DE LA DEUDA PUBLICA PROVINCIAL</t>
  </si>
  <si>
    <t>-EN MILES DE PESOS-</t>
  </si>
  <si>
    <t>MONTO</t>
  </si>
  <si>
    <t>TRANSFERIDO</t>
  </si>
  <si>
    <t xml:space="preserve"> ORGANISMOS MULTILATERALES</t>
  </si>
  <si>
    <t xml:space="preserve">         B.I.R.F.                     </t>
  </si>
  <si>
    <t xml:space="preserve">               PRO.MU.DI II - Cap. </t>
  </si>
  <si>
    <t xml:space="preserve">                         Capital</t>
  </si>
  <si>
    <t xml:space="preserve">                         Intereses</t>
  </si>
  <si>
    <t xml:space="preserve">               SUPCE Rehabilit. Inundaciones</t>
  </si>
  <si>
    <t xml:space="preserve">               MEC - PRODyMES</t>
  </si>
  <si>
    <t xml:space="preserve">               Caminos Provinciales</t>
  </si>
  <si>
    <t xml:space="preserve">               Programa de Servicios Agrícolas Provinciales - PROSAP</t>
  </si>
  <si>
    <t xml:space="preserve">               Préstamo para la Reforma Provincial </t>
  </si>
  <si>
    <t xml:space="preserve">               Programa de Prevención Inundaciones y Drenaje Urbano-PIDU</t>
  </si>
  <si>
    <t xml:space="preserve">         B.I.R.F. - B.I.D.        </t>
  </si>
  <si>
    <t xml:space="preserve">               Programa de Saneamiento Financiero </t>
  </si>
  <si>
    <t xml:space="preserve">                   Provincias I </t>
  </si>
  <si>
    <t xml:space="preserve">                   Provincias II</t>
  </si>
  <si>
    <t xml:space="preserve">         B.I.D.        </t>
  </si>
  <si>
    <t xml:space="preserve">               MEC - PRISE </t>
  </si>
  <si>
    <t xml:space="preserve">               PRODISM </t>
  </si>
  <si>
    <t xml:space="preserve">               PROGRAMA MEJORAMIENTO DE BARRIOS</t>
  </si>
  <si>
    <t xml:space="preserve">              SPAR - BID I A V </t>
  </si>
  <si>
    <t xml:space="preserve">              SPAR - BID  VI </t>
  </si>
  <si>
    <t xml:space="preserve">         B.I.R.F. - JEXIM</t>
  </si>
  <si>
    <t xml:space="preserve">               SUPCE - Protección Inundaciones</t>
  </si>
  <si>
    <t>OTROS ORGANISMOS</t>
  </si>
  <si>
    <t xml:space="preserve">         FONDO KUWAIT  </t>
  </si>
  <si>
    <t xml:space="preserve">               Dirección Provincial Vialidad</t>
  </si>
  <si>
    <t xml:space="preserve">         FONPLATA</t>
  </si>
  <si>
    <t xml:space="preserve">               SUPCE - Reconversión del Puerto Sta. Fe</t>
  </si>
  <si>
    <t xml:space="preserve"> SECTOR FINANCIERO NACIONAL</t>
  </si>
  <si>
    <t xml:space="preserve">        FONDO FIDUCIARIO</t>
  </si>
  <si>
    <t xml:space="preserve">               Capital</t>
  </si>
  <si>
    <t xml:space="preserve">               Intereses </t>
  </si>
  <si>
    <t xml:space="preserve">        FONDO FIDUCIARIO - BOSAFE</t>
  </si>
  <si>
    <t xml:space="preserve">        FONDO FIDUCIARIO FEDERAL  DE INFRAESTRUCTURA</t>
  </si>
  <si>
    <t xml:space="preserve">        PROGRAMA   LEY  N° 12263</t>
  </si>
  <si>
    <t xml:space="preserve">        BANCO HIPOTECARIO</t>
  </si>
  <si>
    <t xml:space="preserve">       BONOS PREVISIONALES</t>
  </si>
  <si>
    <t xml:space="preserve">              Capital</t>
  </si>
  <si>
    <t xml:space="preserve">              Intereses</t>
  </si>
  <si>
    <t xml:space="preserve">                                                       Capital</t>
  </si>
  <si>
    <t xml:space="preserve">                                                       Interés</t>
  </si>
  <si>
    <t xml:space="preserve"> OTROS CONCEPTOS</t>
  </si>
  <si>
    <t xml:space="preserve">       SALUD (DGA)</t>
  </si>
  <si>
    <t xml:space="preserve">              Disminución de Deudas Salariales</t>
  </si>
  <si>
    <t xml:space="preserve">       SERVICIO DE LA DEUDA</t>
  </si>
  <si>
    <t xml:space="preserve">              Int. de la Deuda</t>
  </si>
  <si>
    <t xml:space="preserve">              Fondo Autoseguro Provincial</t>
  </si>
  <si>
    <t xml:space="preserve">              Amortización de la Deuda</t>
  </si>
  <si>
    <t xml:space="preserve">              Atención Deuda Consolidada</t>
  </si>
  <si>
    <t xml:space="preserve">              Rescate de Pagarés</t>
  </si>
  <si>
    <t xml:space="preserve">       VIALIDAD</t>
  </si>
  <si>
    <t xml:space="preserve">              Int. P/ pagos diferidos</t>
  </si>
  <si>
    <t>Tipo de Cambio</t>
  </si>
  <si>
    <t>PRÉSTAMOS SIN EJECUCIÓN</t>
  </si>
  <si>
    <t xml:space="preserve">                 PROGRAMA DE INFRAEST. VIAL PROVINCIAL</t>
  </si>
  <si>
    <t xml:space="preserve">                         Comisión de Compromiso</t>
  </si>
  <si>
    <t xml:space="preserve">                 RUTA NACIONAL N° 19</t>
  </si>
  <si>
    <t xml:space="preserve">                 PROG. MODERN. GESTIÓN PROV / MUNIC. - PCIAS. III</t>
  </si>
  <si>
    <t xml:space="preserve">                 PROG. SERVICIOS BÁSICOS MUNIC. - PROMUDI III</t>
  </si>
  <si>
    <t xml:space="preserve">                  TOTAL</t>
  </si>
</sst>
</file>

<file path=xl/styles.xml><?xml version="1.0" encoding="utf-8"?>
<styleSheet xmlns="http://schemas.openxmlformats.org/spreadsheetml/2006/main">
  <numFmts count="7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&quot;$&quot;\ #,##0;&quot;$&quot;\ \-#,##0"/>
    <numFmt numFmtId="168" formatCode="&quot;$&quot;\ #,##0;[Red]&quot;$&quot;\ \-#,##0"/>
    <numFmt numFmtId="169" formatCode="&quot;$&quot;\ #,##0.00;&quot;$&quot;\ \-#,##0.00"/>
    <numFmt numFmtId="170" formatCode="&quot;$&quot;\ #,##0.00;[Red]&quot;$&quot;\ \-#,##0.00"/>
    <numFmt numFmtId="171" formatCode="_ &quot;$&quot;\ * #,##0_ ;_ &quot;$&quot;\ * \-#,##0_ ;_ &quot;$&quot;\ * &quot;-&quot;_ ;_ @_ 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_(* #,##0.00_);_(* \(#,##0.00\);_(* \-??_);_(@_)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_(* #,##0.0_);_(* \(#,##0.0\);_(* &quot;-&quot;??_);_(@_)"/>
    <numFmt numFmtId="185" formatCode="_(* #,##0_);_(* \(#,##0\);_(* &quot;-&quot;??_);_(@_)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_-* #,##0.00\ _P_t_s_-;\-* #,##0.00\ _P_t_s_-;_-* &quot;-&quot;\ _P_t_s_-;_-@_-"/>
    <numFmt numFmtId="191" formatCode="_-* #,##0\ _P_t_s_-;\-* #,##0\ _P_t_s_-;_-* &quot;-&quot;??\ _P_t_s_-;_-@_-"/>
    <numFmt numFmtId="192" formatCode="_-* #,##0.0\ _P_t_s_-;\-* #,##0.0\ _P_t_s_-;_-* &quot;-&quot;\ _P_t_s_-;_-@_-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#,##0\ &quot;$&quot;;\-#,##0\ &quot;$&quot;"/>
    <numFmt numFmtId="202" formatCode="#,##0\ &quot;$&quot;;[Red]\-#,##0\ &quot;$&quot;"/>
    <numFmt numFmtId="203" formatCode="#,##0.00\ &quot;$&quot;;\-#,##0.00\ &quot;$&quot;"/>
    <numFmt numFmtId="204" formatCode="#,##0.00\ &quot;$&quot;;[Red]\-#,##0.00\ &quot;$&quot;"/>
    <numFmt numFmtId="205" formatCode="_-* #,##0\ &quot;$&quot;_-;\-* #,##0\ &quot;$&quot;_-;_-* &quot;-&quot;\ &quot;$&quot;_-;_-@_-"/>
    <numFmt numFmtId="206" formatCode="_-* #,##0\ _$_-;\-* #,##0\ _$_-;_-* &quot;-&quot;\ _$_-;_-@_-"/>
    <numFmt numFmtId="207" formatCode="_-* #,##0.00\ &quot;$&quot;_-;\-* #,##0.00\ &quot;$&quot;_-;_-* &quot;-&quot;??\ &quot;$&quot;_-;_-@_-"/>
    <numFmt numFmtId="208" formatCode="_-* #,##0.00\ _$_-;\-* #,##0.00\ _$_-;_-* &quot;-&quot;??\ _$_-;_-@_-"/>
    <numFmt numFmtId="209" formatCode="0.000"/>
    <numFmt numFmtId="210" formatCode="0.0000"/>
    <numFmt numFmtId="211" formatCode="#,###.00"/>
    <numFmt numFmtId="212" formatCode="_(* #,##0_);_(* \(#,##0\);_(* \-??_);_(@_)"/>
    <numFmt numFmtId="213" formatCode="#,###"/>
    <numFmt numFmtId="214" formatCode="#,##0.0"/>
    <numFmt numFmtId="215" formatCode="_ * #,##0.00_ ;_ * \-#,##0.00_ ;_ * \-??_ ;_ @_ "/>
    <numFmt numFmtId="216" formatCode="_ * #,##0_ ;_ * \-#,##0_ ;_ * &quot;-&quot;??_ ;_ @_ "/>
    <numFmt numFmtId="217" formatCode="0.0"/>
    <numFmt numFmtId="218" formatCode="General_)"/>
    <numFmt numFmtId="219" formatCode="#,##0.0_);\(#,##0.0\)"/>
    <numFmt numFmtId="220" formatCode="#,##0.0000_);\(#,##0.0000\)"/>
    <numFmt numFmtId="221" formatCode="_ * #,##0.0_ ;_ * \-#,##0.0_ ;_ * &quot;-&quot;_ ;_ @_ "/>
    <numFmt numFmtId="222" formatCode="_ * #,##0.00_ ;_ * \-#,##0.00_ ;_ * &quot;-&quot;_ ;_ @_ "/>
    <numFmt numFmtId="223" formatCode="_ * #,##0.000_ ;_ * \-#,##0.000_ ;_ * &quot;-&quot;_ ;_ @_ "/>
    <numFmt numFmtId="224" formatCode="_-* #,##0.0\ _P_t_s_-;\-* #,##0.0\ _P_t_s_-;_-* &quot;-&quot;?\ _P_t_s_-;_-@_-"/>
    <numFmt numFmtId="225" formatCode="_(* #,##0.0_);_(* \(#,##0.0\);_(* &quot;-&quot;?_);_(@_)"/>
    <numFmt numFmtId="226" formatCode="_ * #,##0.000_ ;_ * \-#,##0.000_ ;_ * &quot;-&quot;??_ ;_ @_ "/>
    <numFmt numFmtId="227" formatCode="0;[Red]0"/>
    <numFmt numFmtId="228" formatCode="_ * #,##0.0_ ;_ * \-#,##0.0_ ;_ * &quot;-&quot;??_ ;_ @_ "/>
    <numFmt numFmtId="229" formatCode="#,##0.000"/>
  </numFmts>
  <fonts count="33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b/>
      <sz val="9"/>
      <name val="Lucida Sans Unicode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Lucida Sans Unicode"/>
      <family val="0"/>
    </font>
    <font>
      <b/>
      <sz val="8"/>
      <name val="Lucida Sans Unicode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9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u val="single"/>
      <sz val="14"/>
      <name val="Arial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sz val="8"/>
      <name val="Arial Black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10"/>
      <name val="Helv"/>
      <family val="0"/>
    </font>
    <font>
      <b/>
      <sz val="16"/>
      <name val="Arial"/>
      <family val="2"/>
    </font>
    <font>
      <b/>
      <sz val="10"/>
      <name val="Helv"/>
      <family val="0"/>
    </font>
    <font>
      <b/>
      <i/>
      <sz val="15"/>
      <name val="Helv"/>
      <family val="0"/>
    </font>
    <font>
      <b/>
      <sz val="15"/>
      <name val="Helv"/>
      <family val="0"/>
    </font>
    <font>
      <sz val="15"/>
      <name val="Helv"/>
      <family val="0"/>
    </font>
    <font>
      <i/>
      <sz val="15"/>
      <name val="Helv"/>
      <family val="0"/>
    </font>
    <font>
      <sz val="14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</fills>
  <borders count="6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Alignment="0" applyProtection="0"/>
    <xf numFmtId="21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42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218" fontId="25" fillId="0" borderId="0">
      <alignment/>
      <protection/>
    </xf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164" fontId="4" fillId="0" borderId="4" xfId="21" applyFont="1" applyFill="1" applyBorder="1" applyAlignment="1" applyProtection="1">
      <alignment/>
      <protection/>
    </xf>
    <xf numFmtId="164" fontId="4" fillId="0" borderId="3" xfId="21" applyFont="1" applyFill="1" applyBorder="1" applyAlignment="1" applyProtection="1">
      <alignment/>
      <protection/>
    </xf>
    <xf numFmtId="164" fontId="4" fillId="0" borderId="5" xfId="21" applyFont="1" applyFill="1" applyBorder="1" applyAlignment="1" applyProtection="1">
      <alignment/>
      <protection/>
    </xf>
    <xf numFmtId="0" fontId="4" fillId="0" borderId="6" xfId="0" applyFont="1" applyBorder="1" applyAlignment="1">
      <alignment horizontal="left"/>
    </xf>
    <xf numFmtId="164" fontId="4" fillId="0" borderId="7" xfId="21" applyFont="1" applyFill="1" applyBorder="1" applyAlignment="1" applyProtection="1">
      <alignment/>
      <protection/>
    </xf>
    <xf numFmtId="164" fontId="4" fillId="0" borderId="6" xfId="21" applyFont="1" applyFill="1" applyBorder="1" applyAlignment="1" applyProtection="1">
      <alignment/>
      <protection/>
    </xf>
    <xf numFmtId="164" fontId="4" fillId="0" borderId="8" xfId="21" applyFont="1" applyFill="1" applyBorder="1" applyAlignment="1" applyProtection="1">
      <alignment/>
      <protection/>
    </xf>
    <xf numFmtId="0" fontId="4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166" fontId="5" fillId="0" borderId="6" xfId="20" applyNumberFormat="1" applyFont="1" applyFill="1" applyBorder="1" applyAlignment="1" applyProtection="1">
      <alignment/>
      <protection/>
    </xf>
    <xf numFmtId="166" fontId="4" fillId="0" borderId="6" xfId="2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6" fontId="4" fillId="0" borderId="6" xfId="20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164" fontId="0" fillId="0" borderId="7" xfId="21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164" fontId="0" fillId="0" borderId="6" xfId="21" applyFont="1" applyFill="1" applyBorder="1" applyAlignment="1" applyProtection="1">
      <alignment/>
      <protection/>
    </xf>
    <xf numFmtId="0" fontId="0" fillId="0" borderId="9" xfId="0" applyBorder="1" applyAlignment="1">
      <alignment/>
    </xf>
    <xf numFmtId="164" fontId="0" fillId="0" borderId="10" xfId="2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164" fontId="0" fillId="0" borderId="0" xfId="2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9" fillId="0" borderId="6" xfId="0" applyNumberFormat="1" applyFont="1" applyBorder="1" applyAlignment="1">
      <alignment/>
    </xf>
    <xf numFmtId="3" fontId="9" fillId="0" borderId="8" xfId="41" applyNumberFormat="1" applyFont="1" applyFill="1" applyBorder="1" applyAlignment="1" applyProtection="1">
      <alignment/>
      <protection/>
    </xf>
    <xf numFmtId="3" fontId="9" fillId="0" borderId="14" xfId="41" applyNumberFormat="1" applyFont="1" applyFill="1" applyBorder="1" applyAlignment="1" applyProtection="1">
      <alignment/>
      <protection/>
    </xf>
    <xf numFmtId="3" fontId="12" fillId="0" borderId="6" xfId="0" applyNumberFormat="1" applyFont="1" applyBorder="1" applyAlignment="1">
      <alignment/>
    </xf>
    <xf numFmtId="3" fontId="10" fillId="0" borderId="8" xfId="41" applyNumberFormat="1" applyFont="1" applyFill="1" applyBorder="1" applyAlignment="1" applyProtection="1">
      <alignment/>
      <protection/>
    </xf>
    <xf numFmtId="3" fontId="10" fillId="0" borderId="14" xfId="41" applyNumberFormat="1" applyFont="1" applyFill="1" applyBorder="1" applyAlignment="1" applyProtection="1">
      <alignment/>
      <protection/>
    </xf>
    <xf numFmtId="3" fontId="10" fillId="0" borderId="6" xfId="0" applyNumberFormat="1" applyFont="1" applyBorder="1" applyAlignment="1">
      <alignment/>
    </xf>
    <xf numFmtId="3" fontId="9" fillId="0" borderId="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5" fillId="0" borderId="0" xfId="0" applyNumberFormat="1" applyFont="1" applyAlignment="1" quotePrefix="1">
      <alignment horizontal="left"/>
    </xf>
    <xf numFmtId="0" fontId="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3" fontId="15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15" fillId="0" borderId="0" xfId="0" applyFont="1" applyBorder="1" applyAlignment="1">
      <alignment/>
    </xf>
    <xf numFmtId="3" fontId="4" fillId="0" borderId="26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26" xfId="0" applyNumberFormat="1" applyFont="1" applyBorder="1" applyAlignment="1">
      <alignment/>
    </xf>
    <xf numFmtId="3" fontId="15" fillId="0" borderId="26" xfId="0" applyNumberFormat="1" applyFont="1" applyFill="1" applyBorder="1" applyAlignment="1">
      <alignment/>
    </xf>
    <xf numFmtId="0" fontId="15" fillId="0" borderId="25" xfId="0" applyFont="1" applyFill="1" applyBorder="1" applyAlignment="1">
      <alignment wrapText="1"/>
    </xf>
    <xf numFmtId="0" fontId="15" fillId="0" borderId="25" xfId="0" applyFont="1" applyFill="1" applyBorder="1" applyAlignment="1">
      <alignment/>
    </xf>
    <xf numFmtId="0" fontId="15" fillId="0" borderId="25" xfId="0" applyFont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2" borderId="0" xfId="0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15" fillId="0" borderId="25" xfId="0" applyFont="1" applyBorder="1" applyAlignment="1" quotePrefix="1">
      <alignment horizontal="left"/>
    </xf>
    <xf numFmtId="0" fontId="15" fillId="0" borderId="0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3" fontId="15" fillId="0" borderId="0" xfId="42" applyNumberFormat="1" applyFont="1" applyFill="1" applyAlignment="1">
      <alignment/>
    </xf>
    <xf numFmtId="3" fontId="15" fillId="3" borderId="0" xfId="42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42" applyNumberFormat="1" applyFont="1" applyAlignment="1">
      <alignment/>
    </xf>
    <xf numFmtId="3" fontId="15" fillId="3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4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9" xfId="0" applyFont="1" applyBorder="1" applyAlignment="1">
      <alignment/>
    </xf>
    <xf numFmtId="0" fontId="18" fillId="0" borderId="3" xfId="0" applyFont="1" applyBorder="1" applyAlignment="1">
      <alignment/>
    </xf>
    <xf numFmtId="0" fontId="16" fillId="0" borderId="6" xfId="0" applyFont="1" applyBorder="1" applyAlignment="1">
      <alignment/>
    </xf>
    <xf numFmtId="4" fontId="16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/>
    </xf>
    <xf numFmtId="3" fontId="17" fillId="0" borderId="6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/>
    </xf>
    <xf numFmtId="3" fontId="16" fillId="0" borderId="6" xfId="0" applyNumberFormat="1" applyFont="1" applyBorder="1" applyAlignment="1">
      <alignment horizontal="right" vertical="center"/>
    </xf>
    <xf numFmtId="3" fontId="16" fillId="0" borderId="6" xfId="0" applyNumberFormat="1" applyFont="1" applyBorder="1" applyAlignment="1">
      <alignment/>
    </xf>
    <xf numFmtId="0" fontId="16" fillId="0" borderId="7" xfId="0" applyFont="1" applyBorder="1" applyAlignment="1">
      <alignment/>
    </xf>
    <xf numFmtId="3" fontId="16" fillId="0" borderId="9" xfId="0" applyNumberFormat="1" applyFont="1" applyBorder="1" applyAlignment="1">
      <alignment/>
    </xf>
    <xf numFmtId="0" fontId="17" fillId="0" borderId="7" xfId="0" applyFont="1" applyBorder="1" applyAlignment="1">
      <alignment/>
    </xf>
    <xf numFmtId="3" fontId="17" fillId="0" borderId="6" xfId="0" applyNumberFormat="1" applyFont="1" applyBorder="1" applyAlignment="1">
      <alignment horizontal="right"/>
    </xf>
    <xf numFmtId="0" fontId="18" fillId="0" borderId="7" xfId="0" applyFont="1" applyBorder="1" applyAlignment="1">
      <alignment/>
    </xf>
    <xf numFmtId="4" fontId="16" fillId="0" borderId="6" xfId="0" applyNumberFormat="1" applyFont="1" applyBorder="1" applyAlignment="1">
      <alignment/>
    </xf>
    <xf numFmtId="0" fontId="17" fillId="0" borderId="10" xfId="0" applyFont="1" applyBorder="1" applyAlignment="1">
      <alignment horizontal="right"/>
    </xf>
    <xf numFmtId="3" fontId="17" fillId="0" borderId="9" xfId="0" applyNumberFormat="1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3" xfId="0" applyFont="1" applyBorder="1" applyAlignment="1">
      <alignment/>
    </xf>
    <xf numFmtId="3" fontId="17" fillId="0" borderId="3" xfId="0" applyNumberFormat="1" applyFont="1" applyBorder="1" applyAlignment="1">
      <alignment horizontal="right"/>
    </xf>
    <xf numFmtId="4" fontId="16" fillId="0" borderId="9" xfId="0" applyNumberFormat="1" applyFont="1" applyBorder="1" applyAlignment="1">
      <alignment/>
    </xf>
    <xf numFmtId="0" fontId="16" fillId="0" borderId="5" xfId="0" applyFont="1" applyBorder="1" applyAlignment="1">
      <alignment/>
    </xf>
    <xf numFmtId="4" fontId="16" fillId="0" borderId="3" xfId="0" applyNumberFormat="1" applyFont="1" applyBorder="1" applyAlignment="1">
      <alignment/>
    </xf>
    <xf numFmtId="0" fontId="17" fillId="0" borderId="8" xfId="0" applyFont="1" applyBorder="1" applyAlignment="1">
      <alignment/>
    </xf>
    <xf numFmtId="3" fontId="17" fillId="0" borderId="6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215" fontId="0" fillId="0" borderId="0" xfId="44" applyNumberFormat="1" applyFont="1" applyFill="1" applyBorder="1" applyAlignment="1" applyProtection="1">
      <alignment/>
      <protection/>
    </xf>
    <xf numFmtId="3" fontId="7" fillId="0" borderId="0" xfId="0" applyNumberFormat="1" applyFont="1" applyAlignment="1">
      <alignment horizontal="center"/>
    </xf>
    <xf numFmtId="166" fontId="19" fillId="0" borderId="1" xfId="44" applyNumberFormat="1" applyFont="1" applyFill="1" applyBorder="1" applyAlignment="1" applyProtection="1">
      <alignment horizontal="center" vertical="center"/>
      <protection/>
    </xf>
    <xf numFmtId="49" fontId="19" fillId="0" borderId="1" xfId="44" applyNumberFormat="1" applyFont="1" applyFill="1" applyBorder="1" applyAlignment="1" applyProtection="1">
      <alignment horizontal="center" vertical="center"/>
      <protection/>
    </xf>
    <xf numFmtId="49" fontId="19" fillId="0" borderId="1" xfId="44" applyNumberFormat="1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>
      <alignment horizontal="center" wrapText="1"/>
    </xf>
    <xf numFmtId="3" fontId="8" fillId="0" borderId="32" xfId="0" applyNumberFormat="1" applyFont="1" applyFill="1" applyBorder="1" applyAlignment="1">
      <alignment wrapText="1"/>
    </xf>
    <xf numFmtId="10" fontId="8" fillId="0" borderId="32" xfId="0" applyNumberFormat="1" applyFont="1" applyFill="1" applyBorder="1" applyAlignment="1">
      <alignment wrapText="1"/>
    </xf>
    <xf numFmtId="3" fontId="8" fillId="0" borderId="9" xfId="0" applyNumberFormat="1" applyFont="1" applyFill="1" applyBorder="1" applyAlignment="1">
      <alignment wrapText="1"/>
    </xf>
    <xf numFmtId="10" fontId="8" fillId="0" borderId="9" xfId="0" applyNumberFormat="1" applyFont="1" applyFill="1" applyBorder="1" applyAlignment="1">
      <alignment wrapText="1"/>
    </xf>
    <xf numFmtId="0" fontId="20" fillId="0" borderId="33" xfId="0" applyFont="1" applyBorder="1" applyAlignment="1">
      <alignment/>
    </xf>
    <xf numFmtId="3" fontId="20" fillId="0" borderId="34" xfId="0" applyNumberFormat="1" applyFont="1" applyBorder="1" applyAlignment="1">
      <alignment/>
    </xf>
    <xf numFmtId="10" fontId="20" fillId="0" borderId="34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0" fontId="20" fillId="0" borderId="36" xfId="0" applyFont="1" applyBorder="1" applyAlignment="1">
      <alignment/>
    </xf>
    <xf numFmtId="3" fontId="20" fillId="0" borderId="6" xfId="0" applyNumberFormat="1" applyFont="1" applyBorder="1" applyAlignment="1">
      <alignment/>
    </xf>
    <xf numFmtId="10" fontId="20" fillId="0" borderId="6" xfId="0" applyNumberFormat="1" applyFont="1" applyBorder="1" applyAlignment="1">
      <alignment/>
    </xf>
    <xf numFmtId="3" fontId="20" fillId="0" borderId="8" xfId="0" applyNumberFormat="1" applyFont="1" applyBorder="1" applyAlignment="1">
      <alignment/>
    </xf>
    <xf numFmtId="0" fontId="20" fillId="0" borderId="37" xfId="0" applyFont="1" applyBorder="1" applyAlignment="1">
      <alignment/>
    </xf>
    <xf numFmtId="3" fontId="20" fillId="0" borderId="38" xfId="0" applyNumberFormat="1" applyFont="1" applyBorder="1" applyAlignment="1">
      <alignment/>
    </xf>
    <xf numFmtId="10" fontId="20" fillId="0" borderId="38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0" fontId="20" fillId="0" borderId="40" xfId="0" applyFont="1" applyBorder="1" applyAlignment="1">
      <alignment/>
    </xf>
    <xf numFmtId="3" fontId="20" fillId="0" borderId="41" xfId="0" applyNumberFormat="1" applyFont="1" applyBorder="1" applyAlignment="1">
      <alignment/>
    </xf>
    <xf numFmtId="10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0" fontId="20" fillId="0" borderId="40" xfId="0" applyFont="1" applyBorder="1" applyAlignment="1">
      <alignment vertical="center"/>
    </xf>
    <xf numFmtId="3" fontId="20" fillId="0" borderId="41" xfId="0" applyNumberFormat="1" applyFont="1" applyBorder="1" applyAlignment="1">
      <alignment vertical="center"/>
    </xf>
    <xf numFmtId="3" fontId="20" fillId="0" borderId="42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wrapText="1"/>
    </xf>
    <xf numFmtId="10" fontId="8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0" fillId="0" borderId="6" xfId="0" applyFont="1" applyBorder="1" applyAlignment="1">
      <alignment/>
    </xf>
    <xf numFmtId="0" fontId="20" fillId="0" borderId="38" xfId="0" applyFont="1" applyBorder="1" applyAlignment="1">
      <alignment/>
    </xf>
    <xf numFmtId="3" fontId="20" fillId="0" borderId="43" xfId="0" applyNumberFormat="1" applyFont="1" applyBorder="1" applyAlignment="1">
      <alignment/>
    </xf>
    <xf numFmtId="0" fontId="8" fillId="0" borderId="44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44" applyNumberFormat="1" applyFont="1" applyFill="1" applyBorder="1" applyAlignment="1" applyProtection="1">
      <alignment/>
      <protection/>
    </xf>
    <xf numFmtId="215" fontId="20" fillId="0" borderId="0" xfId="44" applyNumberFormat="1" applyFont="1" applyFill="1" applyBorder="1" applyAlignment="1" applyProtection="1">
      <alignment/>
      <protection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10" fillId="0" borderId="7" xfId="0" applyNumberFormat="1" applyFont="1" applyBorder="1" applyAlignment="1">
      <alignment/>
    </xf>
    <xf numFmtId="3" fontId="10" fillId="0" borderId="6" xfId="45" applyNumberFormat="1" applyFont="1" applyFill="1" applyBorder="1" applyAlignment="1" applyProtection="1">
      <alignment/>
      <protection/>
    </xf>
    <xf numFmtId="3" fontId="10" fillId="0" borderId="14" xfId="45" applyNumberFormat="1" applyFont="1" applyFill="1" applyBorder="1" applyAlignment="1" applyProtection="1">
      <alignment/>
      <protection/>
    </xf>
    <xf numFmtId="3" fontId="0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6" xfId="0" applyBorder="1" applyAlignment="1">
      <alignment/>
    </xf>
    <xf numFmtId="0" fontId="0" fillId="0" borderId="54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0" xfId="0" applyFont="1" applyBorder="1" applyAlignment="1">
      <alignment/>
    </xf>
    <xf numFmtId="212" fontId="1" fillId="0" borderId="50" xfId="46" applyNumberFormat="1" applyFont="1" applyFill="1" applyBorder="1" applyAlignment="1" applyProtection="1">
      <alignment/>
      <protection/>
    </xf>
    <xf numFmtId="0" fontId="0" fillId="0" borderId="50" xfId="0" applyFont="1" applyBorder="1" applyAlignment="1">
      <alignment/>
    </xf>
    <xf numFmtId="212" fontId="0" fillId="0" borderId="50" xfId="46" applyNumberFormat="1" applyFont="1" applyFill="1" applyBorder="1" applyAlignment="1" applyProtection="1">
      <alignment/>
      <protection/>
    </xf>
    <xf numFmtId="212" fontId="0" fillId="0" borderId="51" xfId="46" applyNumberFormat="1" applyFont="1" applyFill="1" applyBorder="1" applyAlignment="1" applyProtection="1">
      <alignment/>
      <protection/>
    </xf>
    <xf numFmtId="0" fontId="0" fillId="0" borderId="50" xfId="0" applyFont="1" applyFill="1" applyBorder="1" applyAlignment="1">
      <alignment/>
    </xf>
    <xf numFmtId="212" fontId="0" fillId="0" borderId="51" xfId="46" applyNumberFormat="1" applyFont="1" applyFill="1" applyBorder="1" applyAlignment="1" applyProtection="1">
      <alignment horizontal="right"/>
      <protection/>
    </xf>
    <xf numFmtId="0" fontId="0" fillId="0" borderId="50" xfId="0" applyFont="1" applyBorder="1" applyAlignment="1">
      <alignment/>
    </xf>
    <xf numFmtId="212" fontId="0" fillId="0" borderId="50" xfId="46" applyNumberFormat="1" applyFont="1" applyFill="1" applyBorder="1" applyAlignment="1" applyProtection="1">
      <alignment/>
      <protection/>
    </xf>
    <xf numFmtId="212" fontId="0" fillId="0" borderId="51" xfId="46" applyNumberFormat="1" applyFont="1" applyFill="1" applyBorder="1" applyAlignment="1" applyProtection="1">
      <alignment/>
      <protection/>
    </xf>
    <xf numFmtId="212" fontId="1" fillId="0" borderId="51" xfId="46" applyNumberFormat="1" applyFont="1" applyFill="1" applyBorder="1" applyAlignment="1" applyProtection="1">
      <alignment/>
      <protection/>
    </xf>
    <xf numFmtId="212" fontId="0" fillId="0" borderId="46" xfId="46" applyNumberFormat="1" applyFont="1" applyFill="1" applyBorder="1" applyAlignment="1" applyProtection="1">
      <alignment/>
      <protection/>
    </xf>
    <xf numFmtId="212" fontId="0" fillId="0" borderId="48" xfId="46" applyNumberFormat="1" applyFont="1" applyFill="1" applyBorder="1" applyAlignment="1" applyProtection="1">
      <alignment/>
      <protection/>
    </xf>
    <xf numFmtId="175" fontId="0" fillId="0" borderId="53" xfId="46" applyFont="1" applyFill="1" applyBorder="1" applyAlignment="1" applyProtection="1">
      <alignment/>
      <protection/>
    </xf>
    <xf numFmtId="175" fontId="0" fillId="0" borderId="54" xfId="46" applyFont="1" applyFill="1" applyBorder="1" applyAlignment="1" applyProtection="1">
      <alignment/>
      <protection/>
    </xf>
    <xf numFmtId="212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3" fontId="10" fillId="0" borderId="3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9" fillId="0" borderId="6" xfId="47" applyNumberFormat="1" applyFont="1" applyFill="1" applyBorder="1" applyAlignment="1" applyProtection="1">
      <alignment/>
      <protection/>
    </xf>
    <xf numFmtId="3" fontId="10" fillId="0" borderId="6" xfId="47" applyNumberFormat="1" applyFon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10" fillId="0" borderId="6" xfId="0" applyNumberFormat="1" applyFont="1" applyBorder="1" applyAlignment="1">
      <alignment horizontal="left"/>
    </xf>
    <xf numFmtId="3" fontId="0" fillId="0" borderId="9" xfId="0" applyNumberFormat="1" applyBorder="1" applyAlignment="1">
      <alignment/>
    </xf>
    <xf numFmtId="0" fontId="21" fillId="0" borderId="0" xfId="0" applyFont="1" applyAlignment="1">
      <alignment horizontal="right"/>
    </xf>
    <xf numFmtId="1" fontId="10" fillId="0" borderId="1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/>
    </xf>
    <xf numFmtId="212" fontId="0" fillId="0" borderId="3" xfId="36" applyNumberFormat="1" applyFont="1" applyFill="1" applyBorder="1" applyAlignment="1" applyProtection="1">
      <alignment horizontal="center" vertical="center" wrapText="1"/>
      <protection/>
    </xf>
    <xf numFmtId="212" fontId="0" fillId="0" borderId="5" xfId="36" applyNumberFormat="1" applyFont="1" applyFill="1" applyBorder="1" applyAlignment="1" applyProtection="1">
      <alignment horizontal="center" vertical="center" wrapText="1"/>
      <protection/>
    </xf>
    <xf numFmtId="0" fontId="10" fillId="0" borderId="7" xfId="0" applyFont="1" applyBorder="1" applyAlignment="1">
      <alignment/>
    </xf>
    <xf numFmtId="212" fontId="10" fillId="0" borderId="6" xfId="36" applyNumberFormat="1" applyFont="1" applyFill="1" applyBorder="1" applyAlignment="1" applyProtection="1">
      <alignment vertical="center" wrapText="1"/>
      <protection/>
    </xf>
    <xf numFmtId="212" fontId="10" fillId="0" borderId="8" xfId="36" applyNumberFormat="1" applyFont="1" applyFill="1" applyBorder="1" applyAlignment="1" applyProtection="1">
      <alignment vertical="center" wrapText="1"/>
      <protection/>
    </xf>
    <xf numFmtId="0" fontId="9" fillId="0" borderId="7" xfId="0" applyFont="1" applyBorder="1" applyAlignment="1">
      <alignment/>
    </xf>
    <xf numFmtId="0" fontId="10" fillId="0" borderId="55" xfId="0" applyFont="1" applyBorder="1" applyAlignment="1">
      <alignment/>
    </xf>
    <xf numFmtId="212" fontId="10" fillId="0" borderId="43" xfId="36" applyNumberFormat="1" applyFont="1" applyFill="1" applyBorder="1" applyAlignment="1" applyProtection="1">
      <alignment vertical="center" wrapText="1"/>
      <protection/>
    </xf>
    <xf numFmtId="212" fontId="10" fillId="0" borderId="56" xfId="36" applyNumberFormat="1" applyFont="1" applyFill="1" applyBorder="1" applyAlignment="1" applyProtection="1">
      <alignment vertical="center" wrapText="1"/>
      <protection/>
    </xf>
    <xf numFmtId="0" fontId="10" fillId="0" borderId="15" xfId="0" applyFont="1" applyBorder="1" applyAlignment="1">
      <alignment/>
    </xf>
    <xf numFmtId="212" fontId="10" fillId="0" borderId="41" xfId="36" applyNumberFormat="1" applyFont="1" applyFill="1" applyBorder="1" applyAlignment="1" applyProtection="1">
      <alignment vertical="center" wrapText="1"/>
      <protection/>
    </xf>
    <xf numFmtId="212" fontId="10" fillId="0" borderId="42" xfId="36" applyNumberFormat="1" applyFont="1" applyFill="1" applyBorder="1" applyAlignment="1" applyProtection="1">
      <alignment vertical="center" wrapText="1"/>
      <protection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212" fontId="0" fillId="0" borderId="6" xfId="36" applyNumberFormat="1" applyFont="1" applyFill="1" applyBorder="1" applyAlignment="1" applyProtection="1">
      <alignment vertical="center" wrapText="1"/>
      <protection/>
    </xf>
    <xf numFmtId="212" fontId="0" fillId="0" borderId="8" xfId="36" applyNumberFormat="1" applyFont="1" applyFill="1" applyBorder="1" applyAlignment="1" applyProtection="1">
      <alignment vertical="center" wrapText="1"/>
      <protection/>
    </xf>
    <xf numFmtId="212" fontId="0" fillId="0" borderId="43" xfId="36" applyNumberFormat="1" applyFont="1" applyFill="1" applyBorder="1" applyAlignment="1" applyProtection="1">
      <alignment vertical="center" wrapText="1"/>
      <protection/>
    </xf>
    <xf numFmtId="212" fontId="0" fillId="0" borderId="56" xfId="36" applyNumberFormat="1" applyFont="1" applyFill="1" applyBorder="1" applyAlignment="1" applyProtection="1">
      <alignment vertical="center" wrapText="1"/>
      <protection/>
    </xf>
    <xf numFmtId="0" fontId="9" fillId="0" borderId="10" xfId="0" applyFont="1" applyBorder="1" applyAlignment="1">
      <alignment/>
    </xf>
    <xf numFmtId="212" fontId="10" fillId="0" borderId="9" xfId="36" applyNumberFormat="1" applyFont="1" applyFill="1" applyBorder="1" applyAlignment="1" applyProtection="1">
      <alignment vertical="center" wrapText="1"/>
      <protection/>
    </xf>
    <xf numFmtId="212" fontId="1" fillId="0" borderId="6" xfId="36" applyNumberFormat="1" applyFont="1" applyFill="1" applyBorder="1" applyAlignment="1" applyProtection="1">
      <alignment horizontal="center" vertical="center" wrapText="1"/>
      <protection/>
    </xf>
    <xf numFmtId="212" fontId="1" fillId="0" borderId="8" xfId="36" applyNumberFormat="1" applyFont="1" applyFill="1" applyBorder="1" applyAlignment="1" applyProtection="1">
      <alignment horizontal="center" vertical="center" wrapText="1"/>
      <protection/>
    </xf>
    <xf numFmtId="212" fontId="1" fillId="0" borderId="6" xfId="36" applyNumberFormat="1" applyFont="1" applyFill="1" applyBorder="1" applyAlignment="1" applyProtection="1">
      <alignment/>
      <protection/>
    </xf>
    <xf numFmtId="212" fontId="0" fillId="0" borderId="8" xfId="36" applyNumberFormat="1" applyFont="1" applyFill="1" applyBorder="1" applyAlignment="1" applyProtection="1">
      <alignment/>
      <protection/>
    </xf>
    <xf numFmtId="212" fontId="0" fillId="0" borderId="6" xfId="36" applyNumberFormat="1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212" fontId="0" fillId="0" borderId="9" xfId="36" applyNumberFormat="1" applyFont="1" applyFill="1" applyBorder="1" applyAlignment="1" applyProtection="1">
      <alignment/>
      <protection/>
    </xf>
    <xf numFmtId="212" fontId="0" fillId="0" borderId="11" xfId="36" applyNumberFormat="1" applyFont="1" applyFill="1" applyBorder="1" applyAlignment="1" applyProtection="1">
      <alignment/>
      <protection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Font="1" applyBorder="1" applyAlignment="1">
      <alignment wrapText="1"/>
    </xf>
    <xf numFmtId="212" fontId="0" fillId="0" borderId="6" xfId="37" applyNumberFormat="1" applyFont="1" applyFill="1" applyBorder="1" applyAlignment="1" applyProtection="1">
      <alignment wrapText="1"/>
      <protection/>
    </xf>
    <xf numFmtId="212" fontId="0" fillId="0" borderId="0" xfId="0" applyNumberFormat="1" applyAlignment="1">
      <alignment horizontal="center" vertical="center" wrapText="1"/>
    </xf>
    <xf numFmtId="212" fontId="0" fillId="0" borderId="6" xfId="37" applyNumberFormat="1" applyFont="1" applyFill="1" applyBorder="1" applyAlignment="1" applyProtection="1">
      <alignment wrapText="1"/>
      <protection/>
    </xf>
    <xf numFmtId="0" fontId="1" fillId="0" borderId="9" xfId="0" applyFont="1" applyBorder="1" applyAlignment="1">
      <alignment vertical="center" wrapText="1"/>
    </xf>
    <xf numFmtId="212" fontId="1" fillId="0" borderId="9" xfId="37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1" fontId="1" fillId="0" borderId="0" xfId="0" applyNumberFormat="1" applyFont="1" applyAlignment="1">
      <alignment/>
    </xf>
    <xf numFmtId="1" fontId="10" fillId="0" borderId="21" xfId="0" applyNumberFormat="1" applyFont="1" applyBorder="1" applyAlignment="1">
      <alignment horizontal="center" vertical="center" wrapText="1"/>
    </xf>
    <xf numFmtId="1" fontId="15" fillId="0" borderId="57" xfId="0" applyNumberFormat="1" applyFont="1" applyBorder="1" applyAlignment="1">
      <alignment horizontal="center" vertical="center" wrapText="1"/>
    </xf>
    <xf numFmtId="41" fontId="0" fillId="0" borderId="24" xfId="0" applyNumberFormat="1" applyBorder="1" applyAlignment="1">
      <alignment horizontal="center" vertical="center" wrapText="1"/>
    </xf>
    <xf numFmtId="41" fontId="0" fillId="0" borderId="58" xfId="0" applyNumberFormat="1" applyBorder="1" applyAlignment="1">
      <alignment horizontal="center" vertical="center" wrapText="1"/>
    </xf>
    <xf numFmtId="1" fontId="10" fillId="0" borderId="59" xfId="0" applyNumberFormat="1" applyFont="1" applyBorder="1" applyAlignment="1">
      <alignment/>
    </xf>
    <xf numFmtId="41" fontId="10" fillId="0" borderId="26" xfId="38" applyNumberFormat="1" applyFont="1" applyBorder="1" applyAlignment="1">
      <alignment/>
    </xf>
    <xf numFmtId="41" fontId="10" fillId="0" borderId="60" xfId="38" applyNumberFormat="1" applyFont="1" applyBorder="1" applyAlignment="1">
      <alignment/>
    </xf>
    <xf numFmtId="41" fontId="0" fillId="0" borderId="0" xfId="0" applyNumberFormat="1" applyAlignment="1">
      <alignment/>
    </xf>
    <xf numFmtId="0" fontId="10" fillId="0" borderId="59" xfId="0" applyFont="1" applyBorder="1" applyAlignment="1" quotePrefix="1">
      <alignment horizontal="left"/>
    </xf>
    <xf numFmtId="0" fontId="10" fillId="0" borderId="59" xfId="0" applyFont="1" applyBorder="1" applyAlignment="1">
      <alignment horizontal="left"/>
    </xf>
    <xf numFmtId="1" fontId="10" fillId="0" borderId="59" xfId="0" applyNumberFormat="1" applyFont="1" applyBorder="1" applyAlignment="1">
      <alignment horizontal="center"/>
    </xf>
    <xf numFmtId="1" fontId="0" fillId="0" borderId="61" xfId="0" applyNumberFormat="1" applyBorder="1" applyAlignment="1">
      <alignment/>
    </xf>
    <xf numFmtId="185" fontId="0" fillId="0" borderId="30" xfId="38" applyNumberFormat="1" applyBorder="1" applyAlignment="1">
      <alignment/>
    </xf>
    <xf numFmtId="185" fontId="0" fillId="0" borderId="62" xfId="38" applyNumberFormat="1" applyBorder="1" applyAlignment="1">
      <alignment/>
    </xf>
    <xf numFmtId="185" fontId="0" fillId="0" borderId="0" xfId="38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63" xfId="0" applyNumberFormat="1" applyBorder="1" applyAlignment="1">
      <alignment horizontal="center" vertical="center" wrapText="1"/>
    </xf>
    <xf numFmtId="3" fontId="9" fillId="0" borderId="8" xfId="39" applyNumberFormat="1" applyFont="1" applyFill="1" applyBorder="1" applyAlignment="1" applyProtection="1">
      <alignment/>
      <protection/>
    </xf>
    <xf numFmtId="3" fontId="9" fillId="0" borderId="6" xfId="39" applyNumberFormat="1" applyFont="1" applyFill="1" applyBorder="1" applyAlignment="1" applyProtection="1">
      <alignment/>
      <protection/>
    </xf>
    <xf numFmtId="3" fontId="9" fillId="0" borderId="6" xfId="0" applyNumberFormat="1" applyFont="1" applyBorder="1" applyAlignment="1">
      <alignment horizontal="left"/>
    </xf>
    <xf numFmtId="3" fontId="10" fillId="0" borderId="8" xfId="39" applyNumberFormat="1" applyFont="1" applyFill="1" applyBorder="1" applyAlignment="1" applyProtection="1">
      <alignment/>
      <protection/>
    </xf>
    <xf numFmtId="3" fontId="10" fillId="0" borderId="14" xfId="39" applyNumberFormat="1" applyFont="1" applyFill="1" applyBorder="1" applyAlignment="1" applyProtection="1">
      <alignment/>
      <protection/>
    </xf>
    <xf numFmtId="3" fontId="9" fillId="0" borderId="14" xfId="39" applyNumberFormat="1" applyFont="1" applyFill="1" applyBorder="1" applyAlignment="1" applyProtection="1">
      <alignment/>
      <protection/>
    </xf>
    <xf numFmtId="3" fontId="15" fillId="0" borderId="9" xfId="0" applyNumberFormat="1" applyFont="1" applyBorder="1" applyAlignment="1">
      <alignment/>
    </xf>
    <xf numFmtId="3" fontId="0" fillId="0" borderId="11" xfId="39" applyNumberFormat="1" applyFont="1" applyFill="1" applyBorder="1" applyAlignment="1" applyProtection="1">
      <alignment/>
      <protection/>
    </xf>
    <xf numFmtId="3" fontId="0" fillId="0" borderId="20" xfId="39" applyNumberFormat="1" applyFont="1" applyFill="1" applyBorder="1" applyAlignment="1" applyProtection="1">
      <alignment/>
      <protection/>
    </xf>
    <xf numFmtId="218" fontId="25" fillId="0" borderId="0" xfId="72" applyFont="1">
      <alignment/>
      <protection/>
    </xf>
    <xf numFmtId="218" fontId="26" fillId="0" borderId="0" xfId="72" applyNumberFormat="1" applyFont="1" applyAlignment="1" applyProtection="1">
      <alignment horizontal="right"/>
      <protection/>
    </xf>
    <xf numFmtId="218" fontId="26" fillId="0" borderId="0" xfId="72" applyNumberFormat="1" applyFont="1" applyAlignment="1" applyProtection="1">
      <alignment horizontal="center"/>
      <protection/>
    </xf>
    <xf numFmtId="218" fontId="27" fillId="0" borderId="0" xfId="72" applyNumberFormat="1" applyFont="1" applyBorder="1" applyProtection="1">
      <alignment/>
      <protection/>
    </xf>
    <xf numFmtId="218" fontId="27" fillId="0" borderId="0" xfId="72" applyNumberFormat="1" applyFont="1" applyProtection="1">
      <alignment/>
      <protection/>
    </xf>
    <xf numFmtId="218" fontId="17" fillId="0" borderId="0" xfId="72" applyNumberFormat="1" applyFont="1" applyAlignment="1" applyProtection="1">
      <alignment horizontal="right"/>
      <protection/>
    </xf>
    <xf numFmtId="218" fontId="17" fillId="0" borderId="0" xfId="72" applyNumberFormat="1" applyFont="1" applyAlignment="1" applyProtection="1">
      <alignment horizontal="center"/>
      <protection/>
    </xf>
    <xf numFmtId="218" fontId="7" fillId="0" borderId="0" xfId="72" applyNumberFormat="1" applyFont="1" applyBorder="1" applyAlignment="1" applyProtection="1" quotePrefix="1">
      <alignment horizontal="center"/>
      <protection/>
    </xf>
    <xf numFmtId="218" fontId="27" fillId="4" borderId="4" xfId="72" applyNumberFormat="1" applyFont="1" applyFill="1" applyBorder="1" applyProtection="1">
      <alignment/>
      <protection/>
    </xf>
    <xf numFmtId="218" fontId="25" fillId="4" borderId="4" xfId="72" applyNumberFormat="1" applyFont="1" applyFill="1" applyBorder="1" applyProtection="1">
      <alignment/>
      <protection/>
    </xf>
    <xf numFmtId="218" fontId="25" fillId="4" borderId="3" xfId="72" applyNumberFormat="1" applyFont="1" applyFill="1" applyBorder="1" applyProtection="1">
      <alignment/>
      <protection/>
    </xf>
    <xf numFmtId="218" fontId="7" fillId="4" borderId="7" xfId="72" applyNumberFormat="1" applyFont="1" applyFill="1" applyBorder="1" applyAlignment="1" applyProtection="1">
      <alignment horizontal="center"/>
      <protection/>
    </xf>
    <xf numFmtId="218" fontId="7" fillId="4" borderId="6" xfId="72" applyNumberFormat="1" applyFont="1" applyFill="1" applyBorder="1" applyAlignment="1" applyProtection="1">
      <alignment horizontal="center"/>
      <protection/>
    </xf>
    <xf numFmtId="218" fontId="27" fillId="4" borderId="10" xfId="72" applyNumberFormat="1" applyFont="1" applyFill="1" applyBorder="1" applyProtection="1">
      <alignment/>
      <protection/>
    </xf>
    <xf numFmtId="218" fontId="7" fillId="4" borderId="10" xfId="72" applyNumberFormat="1" applyFont="1" applyFill="1" applyBorder="1" applyAlignment="1" applyProtection="1">
      <alignment horizontal="center"/>
      <protection/>
    </xf>
    <xf numFmtId="218" fontId="25" fillId="4" borderId="10" xfId="72" applyNumberFormat="1" applyFont="1" applyFill="1" applyBorder="1" applyProtection="1">
      <alignment/>
      <protection/>
    </xf>
    <xf numFmtId="218" fontId="25" fillId="4" borderId="9" xfId="72" applyNumberFormat="1" applyFont="1" applyFill="1" applyBorder="1" applyProtection="1">
      <alignment/>
      <protection/>
    </xf>
    <xf numFmtId="218" fontId="27" fillId="4" borderId="9" xfId="72" applyNumberFormat="1" applyFont="1" applyFill="1" applyBorder="1" applyAlignment="1" applyProtection="1">
      <alignment horizontal="center"/>
      <protection/>
    </xf>
    <xf numFmtId="218" fontId="28" fillId="0" borderId="12" xfId="72" applyNumberFormat="1" applyFont="1" applyBorder="1" applyAlignment="1" applyProtection="1">
      <alignment horizontal="left" vertical="center"/>
      <protection/>
    </xf>
    <xf numFmtId="219" fontId="29" fillId="0" borderId="1" xfId="72" applyNumberFormat="1" applyFont="1" applyBorder="1" applyAlignment="1" applyProtection="1">
      <alignment vertical="center"/>
      <protection/>
    </xf>
    <xf numFmtId="219" fontId="27" fillId="0" borderId="0" xfId="72" applyNumberFormat="1" applyFont="1" applyBorder="1" applyAlignment="1" applyProtection="1">
      <alignment vertical="center"/>
      <protection/>
    </xf>
    <xf numFmtId="219" fontId="27" fillId="0" borderId="0" xfId="72" applyNumberFormat="1" applyFont="1" applyAlignment="1" applyProtection="1">
      <alignment vertical="center"/>
      <protection/>
    </xf>
    <xf numFmtId="218" fontId="25" fillId="0" borderId="0" xfId="72" applyFont="1" applyAlignment="1">
      <alignment vertical="center"/>
      <protection/>
    </xf>
    <xf numFmtId="218" fontId="30" fillId="0" borderId="3" xfId="72" applyFont="1" applyBorder="1">
      <alignment/>
      <protection/>
    </xf>
    <xf numFmtId="218" fontId="25" fillId="0" borderId="0" xfId="72" applyFont="1" applyBorder="1">
      <alignment/>
      <protection/>
    </xf>
    <xf numFmtId="218" fontId="31" fillId="0" borderId="7" xfId="72" applyNumberFormat="1" applyFont="1" applyBorder="1" applyAlignment="1" applyProtection="1">
      <alignment horizontal="left"/>
      <protection/>
    </xf>
    <xf numFmtId="214" fontId="31" fillId="0" borderId="7" xfId="72" applyNumberFormat="1" applyFont="1" applyBorder="1" applyAlignment="1" applyProtection="1">
      <alignment horizontal="left"/>
      <protection/>
    </xf>
    <xf numFmtId="219" fontId="30" fillId="0" borderId="7" xfId="72" applyNumberFormat="1" applyFont="1" applyBorder="1" applyProtection="1">
      <alignment/>
      <protection/>
    </xf>
    <xf numFmtId="219" fontId="30" fillId="0" borderId="6" xfId="72" applyNumberFormat="1" applyFont="1" applyBorder="1" applyProtection="1">
      <alignment/>
      <protection/>
    </xf>
    <xf numFmtId="218" fontId="25" fillId="0" borderId="6" xfId="72" applyFont="1" applyBorder="1">
      <alignment/>
      <protection/>
    </xf>
    <xf numFmtId="219" fontId="27" fillId="0" borderId="0" xfId="72" applyNumberFormat="1" applyFont="1" applyBorder="1" applyProtection="1">
      <alignment/>
      <protection/>
    </xf>
    <xf numFmtId="219" fontId="27" fillId="0" borderId="0" xfId="72" applyNumberFormat="1" applyFont="1" applyProtection="1">
      <alignment/>
      <protection/>
    </xf>
    <xf numFmtId="219" fontId="30" fillId="0" borderId="0" xfId="72" applyNumberFormat="1" applyFont="1" applyBorder="1" applyProtection="1">
      <alignment/>
      <protection/>
    </xf>
    <xf numFmtId="218" fontId="30" fillId="0" borderId="7" xfId="72" applyNumberFormat="1" applyFont="1" applyBorder="1" applyAlignment="1" applyProtection="1">
      <alignment horizontal="left"/>
      <protection/>
    </xf>
    <xf numFmtId="214" fontId="30" fillId="0" borderId="7" xfId="72" applyNumberFormat="1" applyFont="1" applyBorder="1" applyAlignment="1" applyProtection="1">
      <alignment horizontal="center"/>
      <protection/>
    </xf>
    <xf numFmtId="219" fontId="30" fillId="0" borderId="7" xfId="72" applyNumberFormat="1" applyFont="1" applyFill="1" applyBorder="1" applyProtection="1">
      <alignment/>
      <protection/>
    </xf>
    <xf numFmtId="219" fontId="30" fillId="0" borderId="6" xfId="72" applyNumberFormat="1" applyFont="1" applyFill="1" applyBorder="1" applyProtection="1">
      <alignment/>
      <protection/>
    </xf>
    <xf numFmtId="219" fontId="30" fillId="0" borderId="0" xfId="72" applyNumberFormat="1" applyFont="1" applyFill="1" applyBorder="1" applyProtection="1">
      <alignment/>
      <protection/>
    </xf>
    <xf numFmtId="219" fontId="29" fillId="0" borderId="0" xfId="72" applyNumberFormat="1" applyFont="1" applyFill="1" applyBorder="1" applyProtection="1">
      <alignment/>
      <protection/>
    </xf>
    <xf numFmtId="214" fontId="30" fillId="0" borderId="6" xfId="72" applyNumberFormat="1" applyFont="1" applyBorder="1" applyAlignment="1" applyProtection="1">
      <alignment horizontal="center"/>
      <protection/>
    </xf>
    <xf numFmtId="219" fontId="29" fillId="0" borderId="8" xfId="72" applyNumberFormat="1" applyFont="1" applyFill="1" applyBorder="1" applyProtection="1">
      <alignment/>
      <protection/>
    </xf>
    <xf numFmtId="218" fontId="30" fillId="0" borderId="7" xfId="72" applyNumberFormat="1" applyFont="1" applyBorder="1" applyProtection="1">
      <alignment/>
      <protection/>
    </xf>
    <xf numFmtId="214" fontId="30" fillId="0" borderId="7" xfId="72" applyNumberFormat="1" applyFont="1" applyBorder="1" applyProtection="1">
      <alignment/>
      <protection/>
    </xf>
    <xf numFmtId="214" fontId="30" fillId="0" borderId="7" xfId="72" applyNumberFormat="1" applyFont="1" applyBorder="1" applyAlignment="1" applyProtection="1">
      <alignment horizontal="left"/>
      <protection/>
    </xf>
    <xf numFmtId="219" fontId="30" fillId="0" borderId="8" xfId="72" applyNumberFormat="1" applyFont="1" applyFill="1" applyBorder="1" applyProtection="1">
      <alignment/>
      <protection/>
    </xf>
    <xf numFmtId="219" fontId="24" fillId="0" borderId="6" xfId="72" applyNumberFormat="1" applyFont="1" applyBorder="1" applyProtection="1">
      <alignment/>
      <protection/>
    </xf>
    <xf numFmtId="219" fontId="24" fillId="0" borderId="0" xfId="72" applyNumberFormat="1" applyFont="1" applyBorder="1" applyProtection="1">
      <alignment/>
      <protection/>
    </xf>
    <xf numFmtId="218" fontId="32" fillId="0" borderId="7" xfId="72" applyNumberFormat="1" applyFont="1" applyBorder="1" applyAlignment="1" applyProtection="1">
      <alignment horizontal="left"/>
      <protection/>
    </xf>
    <xf numFmtId="218" fontId="32" fillId="0" borderId="0" xfId="72" applyNumberFormat="1" applyFont="1" applyBorder="1" applyAlignment="1" applyProtection="1">
      <alignment horizontal="left"/>
      <protection/>
    </xf>
    <xf numFmtId="219" fontId="30" fillId="0" borderId="64" xfId="72" applyNumberFormat="1" applyFont="1" applyFill="1" applyBorder="1" applyProtection="1">
      <alignment/>
      <protection/>
    </xf>
    <xf numFmtId="214" fontId="30" fillId="0" borderId="12" xfId="72" applyNumberFormat="1" applyFont="1" applyBorder="1" applyAlignment="1" applyProtection="1">
      <alignment horizontal="center"/>
      <protection/>
    </xf>
    <xf numFmtId="219" fontId="30" fillId="0" borderId="13" xfId="72" applyNumberFormat="1" applyFont="1" applyFill="1" applyBorder="1" applyProtection="1">
      <alignment/>
      <protection/>
    </xf>
    <xf numFmtId="39" fontId="31" fillId="0" borderId="7" xfId="72" applyNumberFormat="1" applyFont="1" applyBorder="1" applyAlignment="1" applyProtection="1">
      <alignment horizontal="left"/>
      <protection/>
    </xf>
    <xf numFmtId="218" fontId="31" fillId="0" borderId="26" xfId="72" applyNumberFormat="1" applyFont="1" applyBorder="1" applyAlignment="1" applyProtection="1">
      <alignment horizontal="left"/>
      <protection/>
    </xf>
    <xf numFmtId="214" fontId="30" fillId="0" borderId="26" xfId="72" applyNumberFormat="1" applyFont="1" applyBorder="1" applyAlignment="1" applyProtection="1">
      <alignment horizontal="center"/>
      <protection/>
    </xf>
    <xf numFmtId="219" fontId="30" fillId="0" borderId="26" xfId="72" applyNumberFormat="1" applyFont="1" applyFill="1" applyBorder="1" applyProtection="1">
      <alignment/>
      <protection/>
    </xf>
    <xf numFmtId="219" fontId="30" fillId="0" borderId="60" xfId="72" applyNumberFormat="1" applyFont="1" applyFill="1" applyBorder="1" applyProtection="1">
      <alignment/>
      <protection/>
    </xf>
    <xf numFmtId="219" fontId="29" fillId="0" borderId="65" xfId="72" applyNumberFormat="1" applyFont="1" applyBorder="1" applyAlignment="1" applyProtection="1">
      <alignment vertical="center"/>
      <protection/>
    </xf>
    <xf numFmtId="219" fontId="29" fillId="0" borderId="2" xfId="72" applyNumberFormat="1" applyFont="1" applyBorder="1" applyAlignment="1" applyProtection="1">
      <alignment vertical="center"/>
      <protection/>
    </xf>
    <xf numFmtId="218" fontId="30" fillId="0" borderId="6" xfId="72" applyNumberFormat="1" applyFont="1" applyBorder="1" applyAlignment="1" applyProtection="1">
      <alignment horizontal="left"/>
      <protection/>
    </xf>
    <xf numFmtId="218" fontId="30" fillId="0" borderId="3" xfId="72" applyNumberFormat="1" applyFont="1" applyBorder="1" applyAlignment="1" applyProtection="1">
      <alignment horizontal="center"/>
      <protection/>
    </xf>
    <xf numFmtId="219" fontId="30" fillId="0" borderId="3" xfId="72" applyNumberFormat="1" applyFont="1" applyFill="1" applyBorder="1" applyProtection="1">
      <alignment/>
      <protection/>
    </xf>
    <xf numFmtId="219" fontId="30" fillId="0" borderId="5" xfId="72" applyNumberFormat="1" applyFont="1" applyFill="1" applyBorder="1" applyProtection="1">
      <alignment/>
      <protection/>
    </xf>
    <xf numFmtId="219" fontId="32" fillId="0" borderId="6" xfId="72" applyNumberFormat="1" applyFont="1" applyFill="1" applyBorder="1" applyProtection="1">
      <alignment/>
      <protection/>
    </xf>
    <xf numFmtId="219" fontId="32" fillId="0" borderId="8" xfId="72" applyNumberFormat="1" applyFont="1" applyFill="1" applyBorder="1" applyProtection="1">
      <alignment/>
      <protection/>
    </xf>
    <xf numFmtId="218" fontId="25" fillId="0" borderId="30" xfId="72" applyFont="1" applyBorder="1">
      <alignment/>
      <protection/>
    </xf>
    <xf numFmtId="218" fontId="25" fillId="0" borderId="30" xfId="72" applyFont="1" applyFill="1" applyBorder="1">
      <alignment/>
      <protection/>
    </xf>
    <xf numFmtId="218" fontId="25" fillId="0" borderId="62" xfId="72" applyFont="1" applyFill="1" applyBorder="1">
      <alignment/>
      <protection/>
    </xf>
    <xf numFmtId="218" fontId="25" fillId="0" borderId="62" xfId="72" applyFont="1" applyBorder="1">
      <alignment/>
      <protection/>
    </xf>
    <xf numFmtId="218" fontId="25" fillId="0" borderId="0" xfId="72" applyFont="1" applyFill="1">
      <alignment/>
      <protection/>
    </xf>
    <xf numFmtId="218" fontId="31" fillId="0" borderId="4" xfId="72" applyNumberFormat="1" applyFont="1" applyBorder="1" applyAlignment="1" applyProtection="1">
      <alignment horizontal="left"/>
      <protection/>
    </xf>
    <xf numFmtId="218" fontId="25" fillId="0" borderId="66" xfId="72" applyFont="1" applyBorder="1">
      <alignment/>
      <protection/>
    </xf>
    <xf numFmtId="219" fontId="30" fillId="0" borderId="4" xfId="72" applyNumberFormat="1" applyFont="1" applyFill="1" applyBorder="1" applyProtection="1">
      <alignment/>
      <protection/>
    </xf>
    <xf numFmtId="219" fontId="30" fillId="0" borderId="67" xfId="72" applyNumberFormat="1" applyFont="1" applyFill="1" applyBorder="1" applyProtection="1">
      <alignment/>
      <protection/>
    </xf>
    <xf numFmtId="218" fontId="30" fillId="0" borderId="9" xfId="72" applyNumberFormat="1" applyFont="1" applyBorder="1" applyAlignment="1" applyProtection="1">
      <alignment horizontal="left"/>
      <protection/>
    </xf>
    <xf numFmtId="218" fontId="25" fillId="0" borderId="9" xfId="72" applyFont="1" applyBorder="1">
      <alignment/>
      <protection/>
    </xf>
    <xf numFmtId="219" fontId="30" fillId="0" borderId="9" xfId="72" applyNumberFormat="1" applyFont="1" applyFill="1" applyBorder="1" applyProtection="1">
      <alignment/>
      <protection/>
    </xf>
    <xf numFmtId="218" fontId="30" fillId="0" borderId="0" xfId="72" applyNumberFormat="1" applyFont="1" applyBorder="1" applyAlignment="1" applyProtection="1">
      <alignment horizontal="left"/>
      <protection/>
    </xf>
    <xf numFmtId="218" fontId="24" fillId="0" borderId="0" xfId="72" applyFont="1" applyAlignment="1">
      <alignment horizontal="right"/>
      <protection/>
    </xf>
    <xf numFmtId="4" fontId="25" fillId="0" borderId="0" xfId="72" applyNumberFormat="1" applyFont="1">
      <alignment/>
      <protection/>
    </xf>
    <xf numFmtId="218" fontId="30" fillId="0" borderId="10" xfId="72" applyNumberFormat="1" applyFont="1" applyBorder="1" applyAlignment="1" applyProtection="1">
      <alignment horizontal="left"/>
      <protection/>
    </xf>
    <xf numFmtId="214" fontId="30" fillId="0" borderId="10" xfId="72" applyNumberFormat="1" applyFont="1" applyBorder="1" applyAlignment="1" applyProtection="1">
      <alignment horizontal="center"/>
      <protection/>
    </xf>
    <xf numFmtId="219" fontId="30" fillId="0" borderId="10" xfId="72" applyNumberFormat="1" applyFont="1" applyFill="1" applyBorder="1" applyProtection="1">
      <alignment/>
      <protection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29" xfId="0" applyNumberForma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3" fontId="0" fillId="0" borderId="68" xfId="0" applyNumberFormat="1" applyBorder="1" applyAlignment="1">
      <alignment horizontal="center"/>
    </xf>
    <xf numFmtId="1" fontId="0" fillId="0" borderId="0" xfId="0" applyNumberFormat="1" applyAlignment="1">
      <alignment wrapText="1"/>
    </xf>
    <xf numFmtId="218" fontId="26" fillId="0" borderId="0" xfId="72" applyNumberFormat="1" applyFont="1" applyAlignment="1" applyProtection="1">
      <alignment horizontal="right"/>
      <protection/>
    </xf>
    <xf numFmtId="218" fontId="25" fillId="0" borderId="0" xfId="72" applyAlignment="1">
      <alignment horizontal="right"/>
      <protection/>
    </xf>
    <xf numFmtId="218" fontId="17" fillId="0" borderId="0" xfId="72" applyNumberFormat="1" applyFont="1" applyAlignment="1" applyProtection="1">
      <alignment horizontal="center"/>
      <protection/>
    </xf>
    <xf numFmtId="218" fontId="7" fillId="0" borderId="0" xfId="72" applyNumberFormat="1" applyFont="1" applyBorder="1" applyAlignment="1" applyProtection="1" quotePrefix="1">
      <alignment horizontal="center"/>
      <protection/>
    </xf>
    <xf numFmtId="218" fontId="7" fillId="0" borderId="0" xfId="72" applyNumberFormat="1" applyFont="1" applyBorder="1" applyAlignment="1" applyProtection="1" quotePrefix="1">
      <alignment horizontal="right"/>
      <protection/>
    </xf>
    <xf numFmtId="218" fontId="26" fillId="0" borderId="0" xfId="72" applyNumberFormat="1" applyFont="1" applyAlignment="1" applyProtection="1">
      <alignment horizontal="center"/>
      <protection/>
    </xf>
  </cellXfs>
  <cellStyles count="65">
    <cellStyle name="Normal" xfId="0"/>
    <cellStyle name="ENCABE - Modelo1" xfId="15"/>
    <cellStyle name="Hyperlink" xfId="16"/>
    <cellStyle name="Followed Hyperlink" xfId="17"/>
    <cellStyle name="Hipervínculo visitado_A12-ftes fcieras" xfId="18"/>
    <cellStyle name="Hipervínculo_A12-ftes fcieras" xfId="19"/>
    <cellStyle name="Comma" xfId="20"/>
    <cellStyle name="Comma [0]" xfId="21"/>
    <cellStyle name="Millares [0]_A 15 - Servicios de la Deuda" xfId="22"/>
    <cellStyle name="Millares [0]_A10-gto-obj-inst" xfId="23"/>
    <cellStyle name="Millares [0]_A11-Cop MM.CC." xfId="24"/>
    <cellStyle name="Millares [0]_A12-ftes fcieras" xfId="25"/>
    <cellStyle name="Millares [0]_A13-aplic. fcieras" xfId="26"/>
    <cellStyle name="Millares [0]_A2-recursos rubro" xfId="27"/>
    <cellStyle name="Millares [0]_A3-recursos-econ-inst" xfId="28"/>
    <cellStyle name="Millares [0]_A4-recursos-proced" xfId="29"/>
    <cellStyle name="Millares [0]_A5-Gastos Tributarios" xfId="30"/>
    <cellStyle name="Millares [0]_A6-INSTITUCIONAL" xfId="31"/>
    <cellStyle name="Millares [0]_A7-Finalidad" xfId="32"/>
    <cellStyle name="Millares [0]_A8-Finalidad-Función" xfId="33"/>
    <cellStyle name="Millares [0]_A9-gto-econ-inst" xfId="34"/>
    <cellStyle name="Millares_A 15 - Servicios de la Deuda" xfId="35"/>
    <cellStyle name="Millares_A10-gto-obj-inst" xfId="36"/>
    <cellStyle name="Millares_A11-Cop MM.CC." xfId="37"/>
    <cellStyle name="Millares_A12-ftes fcieras" xfId="38"/>
    <cellStyle name="Millares_A13-aplic. fcieras" xfId="39"/>
    <cellStyle name="Millares_A2-recursos rubro" xfId="40"/>
    <cellStyle name="Millares_A3-recursos-econ-inst" xfId="41"/>
    <cellStyle name="Millares_A4-recursos-proced" xfId="42"/>
    <cellStyle name="Millares_A5-Gastos Tributarios" xfId="43"/>
    <cellStyle name="Millares_A6-INSTITUCIONAL" xfId="44"/>
    <cellStyle name="Millares_A7-Finalidad" xfId="45"/>
    <cellStyle name="Millares_A8-Finalidad-Función" xfId="46"/>
    <cellStyle name="Millares_A9-gto-econ-inst" xfId="47"/>
    <cellStyle name="Currency" xfId="48"/>
    <cellStyle name="Currency [0]" xfId="49"/>
    <cellStyle name="Moneda [0]_A 15 - Servicios de la Deuda" xfId="50"/>
    <cellStyle name="Moneda [0]_A11-Cop MM.CC." xfId="51"/>
    <cellStyle name="Moneda [0]_A12-ftes fcieras" xfId="52"/>
    <cellStyle name="Moneda [0]_A13-aplic. fcieras" xfId="53"/>
    <cellStyle name="Moneda [0]_A2-recursos rubro" xfId="54"/>
    <cellStyle name="Moneda [0]_A3-recursos-econ-inst" xfId="55"/>
    <cellStyle name="Moneda [0]_A4-recursos-proced" xfId="56"/>
    <cellStyle name="Moneda [0]_A5-Gastos Tributarios" xfId="57"/>
    <cellStyle name="Moneda [0]_A7-Finalidad" xfId="58"/>
    <cellStyle name="Moneda [0]_A8-Finalidad-Función" xfId="59"/>
    <cellStyle name="Moneda [0]_A9-gto-econ-inst" xfId="60"/>
    <cellStyle name="Moneda_A 15 - Servicios de la Deuda" xfId="61"/>
    <cellStyle name="Moneda_A11-Cop MM.CC." xfId="62"/>
    <cellStyle name="Moneda_A12-ftes fcieras" xfId="63"/>
    <cellStyle name="Moneda_A13-aplic. fcieras" xfId="64"/>
    <cellStyle name="Moneda_A2-recursos rubro" xfId="65"/>
    <cellStyle name="Moneda_A3-recursos-econ-inst" xfId="66"/>
    <cellStyle name="Moneda_A4-recursos-proced" xfId="67"/>
    <cellStyle name="Moneda_A5-Gastos Tributarios" xfId="68"/>
    <cellStyle name="Moneda_A7-Finalidad" xfId="69"/>
    <cellStyle name="Moneda_A8-Finalidad-Función" xfId="70"/>
    <cellStyle name="Moneda_A9-gto-econ-inst" xfId="71"/>
    <cellStyle name="Normal_A 15 - Servicios de la Deuda" xfId="72"/>
    <cellStyle name="Percent" xfId="73"/>
    <cellStyle name="Porcentual_A 15 - Servicios de la Deuda" xfId="74"/>
    <cellStyle name="Porcentual_A12-ftes fcieras" xfId="75"/>
    <cellStyle name="Porcentual_A3-recursos-econ-inst" xfId="76"/>
    <cellStyle name="Porcentual_A4-recursos-proced" xfId="77"/>
    <cellStyle name="Porcentual_A5-Gastos Tributarios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showGridLines="0" showZeros="0" zoomScale="75" zoomScaleNormal="75" workbookViewId="0" topLeftCell="A30">
      <selection activeCell="D54" sqref="D54"/>
    </sheetView>
  </sheetViews>
  <sheetFormatPr defaultColWidth="11.421875" defaultRowHeight="12.75"/>
  <cols>
    <col min="1" max="1" width="61.28125" style="0" customWidth="1"/>
    <col min="2" max="2" width="18.57421875" style="0" customWidth="1"/>
    <col min="3" max="3" width="18.8515625" style="0" customWidth="1"/>
    <col min="4" max="4" width="20.281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spans="1:2" ht="12.75">
      <c r="A6" s="1"/>
      <c r="B6" s="2"/>
    </row>
    <row r="7" ht="12.75">
      <c r="C7" s="3" t="s">
        <v>0</v>
      </c>
    </row>
    <row r="9" spans="1:4" s="4" customFormat="1" ht="12.75">
      <c r="A9" s="408" t="s">
        <v>1</v>
      </c>
      <c r="B9" s="408"/>
      <c r="C9" s="408"/>
      <c r="D9" s="408"/>
    </row>
    <row r="10" spans="1:4" s="4" customFormat="1" ht="15" customHeight="1">
      <c r="A10" s="409" t="s">
        <v>2</v>
      </c>
      <c r="B10" s="409"/>
      <c r="C10" s="409"/>
      <c r="D10" s="409"/>
    </row>
    <row r="12" spans="1:4" ht="12.75">
      <c r="A12" s="410" t="s">
        <v>3</v>
      </c>
      <c r="B12" s="410"/>
      <c r="C12" s="410"/>
      <c r="D12" s="410"/>
    </row>
    <row r="14" spans="2:4" ht="12.75">
      <c r="B14" s="411"/>
      <c r="C14" s="411"/>
      <c r="D14" s="411"/>
    </row>
    <row r="15" spans="1:4" ht="18" customHeight="1">
      <c r="A15" s="5" t="s">
        <v>4</v>
      </c>
      <c r="B15" s="6">
        <v>2007</v>
      </c>
      <c r="C15" s="5">
        <v>2008</v>
      </c>
      <c r="D15" s="6">
        <v>2009</v>
      </c>
    </row>
    <row r="16" spans="1:4" ht="12.75">
      <c r="A16" s="7"/>
      <c r="B16" s="8"/>
      <c r="C16" s="9"/>
      <c r="D16" s="10"/>
    </row>
    <row r="17" spans="1:4" ht="12.75">
      <c r="A17" s="11" t="s">
        <v>5</v>
      </c>
      <c r="B17" s="12">
        <v>8112470087</v>
      </c>
      <c r="C17" s="13">
        <v>8613175354</v>
      </c>
      <c r="D17" s="14">
        <v>9114990030</v>
      </c>
    </row>
    <row r="18" spans="1:4" ht="12.75">
      <c r="A18" s="15"/>
      <c r="B18" s="12"/>
      <c r="C18" s="13"/>
      <c r="D18" s="14"/>
    </row>
    <row r="19" spans="1:4" ht="12.75">
      <c r="A19" s="11" t="s">
        <v>6</v>
      </c>
      <c r="B19" s="12">
        <v>6867434753</v>
      </c>
      <c r="C19" s="13">
        <v>7222563036</v>
      </c>
      <c r="D19" s="13">
        <v>7670068109</v>
      </c>
    </row>
    <row r="20" spans="1:4" ht="12.75">
      <c r="A20" s="15"/>
      <c r="B20" s="12"/>
      <c r="C20" s="13"/>
      <c r="D20" s="13"/>
    </row>
    <row r="21" spans="1:4" ht="12.75">
      <c r="A21" s="16" t="s">
        <v>7</v>
      </c>
      <c r="B21" s="12">
        <f>+B17-B19</f>
        <v>1245035334</v>
      </c>
      <c r="C21" s="12">
        <f>+C17-C19</f>
        <v>1390612318</v>
      </c>
      <c r="D21" s="13">
        <f>+D17-D19</f>
        <v>1444921921</v>
      </c>
    </row>
    <row r="22" spans="1:4" ht="12.75">
      <c r="A22" s="15"/>
      <c r="B22" s="12"/>
      <c r="C22" s="13"/>
      <c r="D22" s="13"/>
    </row>
    <row r="23" spans="1:4" ht="12.75">
      <c r="A23" s="15" t="s">
        <v>8</v>
      </c>
      <c r="B23" s="12">
        <v>335579339</v>
      </c>
      <c r="C23" s="13">
        <v>383149808</v>
      </c>
      <c r="D23" s="13">
        <v>388118908</v>
      </c>
    </row>
    <row r="24" spans="1:4" ht="12.75">
      <c r="A24" s="15"/>
      <c r="B24" s="12"/>
      <c r="C24" s="13"/>
      <c r="D24" s="13"/>
    </row>
    <row r="25" spans="1:4" ht="12.75">
      <c r="A25" s="11" t="s">
        <v>9</v>
      </c>
      <c r="B25" s="12">
        <v>1280092628</v>
      </c>
      <c r="C25" s="13">
        <v>1541862698</v>
      </c>
      <c r="D25" s="13">
        <v>1662343692</v>
      </c>
    </row>
    <row r="26" spans="1:4" ht="12.75">
      <c r="A26" s="15"/>
      <c r="B26" s="12"/>
      <c r="C26" s="13"/>
      <c r="D26" s="13"/>
    </row>
    <row r="27" spans="1:4" ht="12.75">
      <c r="A27" s="17" t="s">
        <v>10</v>
      </c>
      <c r="B27" s="12">
        <f>+B25-B23</f>
        <v>944513289</v>
      </c>
      <c r="C27" s="12">
        <f>+C25-C23</f>
        <v>1158712890</v>
      </c>
      <c r="D27" s="13">
        <f>+D25-D23</f>
        <v>1274224784</v>
      </c>
    </row>
    <row r="28" spans="1:4" ht="12.75">
      <c r="A28" s="17"/>
      <c r="B28" s="12"/>
      <c r="C28" s="13"/>
      <c r="D28" s="13"/>
    </row>
    <row r="29" spans="1:4" ht="12.75">
      <c r="A29" s="17" t="s">
        <v>11</v>
      </c>
      <c r="B29" s="12">
        <f>+B17+B23</f>
        <v>8448049426</v>
      </c>
      <c r="C29" s="13">
        <f>+C17+C23</f>
        <v>8996325162</v>
      </c>
      <c r="D29" s="13">
        <f>+D17+D23</f>
        <v>9503108938</v>
      </c>
    </row>
    <row r="30" spans="1:4" ht="12.75">
      <c r="A30" s="17" t="s">
        <v>12</v>
      </c>
      <c r="B30" s="12">
        <f>+B19+B25</f>
        <v>8147527381</v>
      </c>
      <c r="C30" s="13">
        <f>+C19+C25</f>
        <v>8764425734</v>
      </c>
      <c r="D30" s="13">
        <f>+D19+D25</f>
        <v>9332411801</v>
      </c>
    </row>
    <row r="31" spans="1:4" ht="12.75">
      <c r="A31" s="15"/>
      <c r="B31" s="12"/>
      <c r="C31" s="13"/>
      <c r="D31" s="14"/>
    </row>
    <row r="32" spans="1:4" ht="12.75">
      <c r="A32" s="16" t="s">
        <v>13</v>
      </c>
      <c r="B32" s="12"/>
      <c r="C32" s="13"/>
      <c r="D32" s="14"/>
    </row>
    <row r="33" spans="1:4" ht="12.75">
      <c r="A33" s="16" t="s">
        <v>14</v>
      </c>
      <c r="B33" s="12">
        <f>B21-B27</f>
        <v>300522045</v>
      </c>
      <c r="C33" s="13">
        <f>C21-C27</f>
        <v>231899428</v>
      </c>
      <c r="D33" s="14">
        <f>D21-D27</f>
        <v>170697137</v>
      </c>
    </row>
    <row r="34" spans="1:4" ht="12.75">
      <c r="A34" s="15"/>
      <c r="B34" s="12"/>
      <c r="C34" s="13"/>
      <c r="D34" s="14"/>
    </row>
    <row r="35" spans="1:4" ht="12.75">
      <c r="A35" s="15" t="s">
        <v>15</v>
      </c>
      <c r="B35" s="12">
        <v>651655969</v>
      </c>
      <c r="C35" s="13">
        <v>696691014</v>
      </c>
      <c r="D35" s="14">
        <v>717924881</v>
      </c>
    </row>
    <row r="36" spans="1:4" ht="12.75">
      <c r="A36" s="15"/>
      <c r="B36" s="12"/>
      <c r="C36" s="13"/>
      <c r="D36" s="14"/>
    </row>
    <row r="37" spans="1:4" ht="12.75">
      <c r="A37" s="15" t="s">
        <v>16</v>
      </c>
      <c r="B37" s="12">
        <f>+B35</f>
        <v>651655969</v>
      </c>
      <c r="C37" s="13">
        <f>+C35</f>
        <v>696691014</v>
      </c>
      <c r="D37" s="14">
        <f>+D35</f>
        <v>717924881</v>
      </c>
    </row>
    <row r="38" spans="1:4" ht="12.75">
      <c r="A38" s="15"/>
      <c r="B38" s="12"/>
      <c r="C38" s="13"/>
      <c r="D38" s="14"/>
    </row>
    <row r="39" spans="1:4" ht="12.75">
      <c r="A39" s="17" t="s">
        <v>17</v>
      </c>
      <c r="B39" s="12">
        <f>B33+B35-B37</f>
        <v>300522045</v>
      </c>
      <c r="C39" s="13">
        <f>C33+C35-C37</f>
        <v>231899428</v>
      </c>
      <c r="D39" s="14">
        <f>D33+D35-D37</f>
        <v>170697137</v>
      </c>
    </row>
    <row r="40" spans="1:4" ht="12.75">
      <c r="A40" s="15"/>
      <c r="B40" s="12"/>
      <c r="C40" s="13"/>
      <c r="D40" s="14"/>
    </row>
    <row r="41" spans="1:4" ht="12.75">
      <c r="A41" s="15" t="s">
        <v>18</v>
      </c>
      <c r="B41" s="12">
        <f>+B42+B43+B44</f>
        <v>92760572</v>
      </c>
      <c r="C41" s="13">
        <f>+C42+C43+C44</f>
        <v>300505370</v>
      </c>
      <c r="D41" s="14">
        <f>+D42+D43+D44</f>
        <v>322331461</v>
      </c>
    </row>
    <row r="42" spans="1:4" ht="12.75">
      <c r="A42" s="18" t="s">
        <v>19</v>
      </c>
      <c r="B42" s="12">
        <v>200000</v>
      </c>
      <c r="C42" s="13">
        <v>200000</v>
      </c>
      <c r="D42" s="14">
        <v>200000</v>
      </c>
    </row>
    <row r="43" spans="1:4" ht="12.75">
      <c r="A43" s="19" t="s">
        <v>20</v>
      </c>
      <c r="B43" s="12">
        <v>85647154</v>
      </c>
      <c r="C43" s="13">
        <v>293097608</v>
      </c>
      <c r="D43" s="14">
        <v>314878399</v>
      </c>
    </row>
    <row r="44" spans="1:4" ht="12.75">
      <c r="A44" s="19" t="s">
        <v>21</v>
      </c>
      <c r="B44" s="12">
        <v>6913418</v>
      </c>
      <c r="C44" s="13">
        <v>7207762</v>
      </c>
      <c r="D44" s="14">
        <v>7253062</v>
      </c>
    </row>
    <row r="45" spans="1:4" ht="12.75">
      <c r="A45" s="15"/>
      <c r="B45" s="12"/>
      <c r="C45" s="13"/>
      <c r="D45" s="14"/>
    </row>
    <row r="46" spans="1:8" ht="12.75">
      <c r="A46" s="15" t="s">
        <v>22</v>
      </c>
      <c r="B46" s="12">
        <f>+B47+B48+B49</f>
        <v>393282617</v>
      </c>
      <c r="C46" s="13">
        <f>+C47+C48+C49</f>
        <v>532404798</v>
      </c>
      <c r="D46" s="14">
        <f>+D47+D48+D49</f>
        <v>493028598</v>
      </c>
      <c r="G46" s="20"/>
      <c r="H46" s="20"/>
    </row>
    <row r="47" spans="1:8" ht="12.75">
      <c r="A47" s="15" t="s">
        <v>23</v>
      </c>
      <c r="B47" s="12">
        <v>7700000</v>
      </c>
      <c r="C47" s="13">
        <v>163500000</v>
      </c>
      <c r="D47" s="14">
        <v>240100000</v>
      </c>
      <c r="G47" s="20"/>
      <c r="H47" s="20"/>
    </row>
    <row r="48" spans="1:8" ht="12.75">
      <c r="A48" s="18" t="s">
        <v>24</v>
      </c>
      <c r="B48" s="12">
        <v>378669199</v>
      </c>
      <c r="C48" s="13">
        <v>361697036</v>
      </c>
      <c r="D48" s="14">
        <v>245675536</v>
      </c>
      <c r="G48" s="20"/>
      <c r="H48" s="20"/>
    </row>
    <row r="49" spans="1:4" ht="12.75">
      <c r="A49" s="21" t="s">
        <v>25</v>
      </c>
      <c r="B49" s="12">
        <f>+B44</f>
        <v>6913418</v>
      </c>
      <c r="C49" s="13">
        <f>+C44</f>
        <v>7207762</v>
      </c>
      <c r="D49" s="14">
        <f>+D44</f>
        <v>7253062</v>
      </c>
    </row>
    <row r="50" spans="1:4" ht="12.75">
      <c r="A50" s="22"/>
      <c r="B50" s="23"/>
      <c r="C50" s="22"/>
      <c r="D50" s="24"/>
    </row>
    <row r="51" spans="1:4" ht="12.75">
      <c r="A51" s="17" t="s">
        <v>26</v>
      </c>
      <c r="B51" s="23">
        <f>+B39+B41-B46</f>
        <v>0</v>
      </c>
      <c r="C51" s="25">
        <f>+C39+C41-C46</f>
        <v>0</v>
      </c>
      <c r="D51" s="25">
        <f>+D39+D41-D46</f>
        <v>0</v>
      </c>
    </row>
    <row r="52" spans="1:4" ht="12.75">
      <c r="A52" s="26"/>
      <c r="B52" s="27"/>
      <c r="C52" s="26"/>
      <c r="D52" s="28"/>
    </row>
    <row r="53" spans="1:2" ht="12.75">
      <c r="A53" s="20"/>
      <c r="B53" s="29"/>
    </row>
    <row r="54" spans="1:4" ht="12.75">
      <c r="A54" s="20"/>
      <c r="B54" s="29"/>
      <c r="C54" s="30"/>
      <c r="D54" s="30"/>
    </row>
    <row r="55" spans="1:4" ht="12.75">
      <c r="A55" s="20"/>
      <c r="B55" s="29"/>
      <c r="C55" s="30"/>
      <c r="D55" s="30"/>
    </row>
    <row r="56" spans="1:4" ht="12.75">
      <c r="A56" s="20"/>
      <c r="B56" s="29"/>
      <c r="D56" s="30"/>
    </row>
    <row r="57" spans="1:2" ht="12.75">
      <c r="A57" s="20"/>
      <c r="B57" s="29"/>
    </row>
    <row r="58" spans="1:2" ht="12.75">
      <c r="A58" s="20"/>
      <c r="B58" s="29"/>
    </row>
    <row r="59" spans="1:2" ht="12.75">
      <c r="A59" s="20"/>
      <c r="B59" s="29"/>
    </row>
    <row r="60" spans="1:2" ht="12.75">
      <c r="A60" s="20"/>
      <c r="B60" s="29"/>
    </row>
    <row r="61" spans="1:2" ht="12.75">
      <c r="A61" s="20"/>
      <c r="B61" s="29"/>
    </row>
    <row r="62" spans="1:2" ht="12.75">
      <c r="A62" s="20"/>
      <c r="B62" s="29"/>
    </row>
    <row r="63" spans="1:2" ht="12.75">
      <c r="A63" s="20"/>
      <c r="B63" s="29"/>
    </row>
    <row r="64" spans="1:2" ht="12.75">
      <c r="A64" s="20"/>
      <c r="B64" s="29"/>
    </row>
    <row r="65" spans="1:2" ht="12.75">
      <c r="A65" s="20"/>
      <c r="B65" s="29"/>
    </row>
    <row r="66" spans="1:2" ht="12.75">
      <c r="A66" s="20"/>
      <c r="B66" s="29"/>
    </row>
    <row r="67" spans="1:2" ht="12.75">
      <c r="A67" s="20"/>
      <c r="B67" s="29"/>
    </row>
    <row r="68" spans="1:2" ht="12.75">
      <c r="A68" s="20"/>
      <c r="B68" s="29"/>
    </row>
    <row r="69" spans="1:2" ht="12.75">
      <c r="A69" s="20"/>
      <c r="B69" s="29"/>
    </row>
    <row r="70" spans="1:2" ht="12.75">
      <c r="A70" s="20"/>
      <c r="B70" s="29"/>
    </row>
    <row r="71" spans="1:2" ht="12.75">
      <c r="A71" s="20"/>
      <c r="B71" s="29"/>
    </row>
    <row r="72" spans="1:2" ht="12.75">
      <c r="A72" s="20"/>
      <c r="B72" s="29"/>
    </row>
    <row r="73" spans="1:2" ht="12.75">
      <c r="A73" s="20"/>
      <c r="B73" s="29"/>
    </row>
    <row r="74" spans="1:2" ht="12.75">
      <c r="A74" s="20"/>
      <c r="B74" s="29"/>
    </row>
    <row r="75" spans="1:2" ht="12.75">
      <c r="A75" s="20"/>
      <c r="B75" s="29"/>
    </row>
    <row r="76" ht="12.75">
      <c r="B76" s="29"/>
    </row>
    <row r="77" ht="12.75">
      <c r="B77" s="29"/>
    </row>
    <row r="78" ht="12.75">
      <c r="B78" s="29"/>
    </row>
    <row r="79" ht="12.75">
      <c r="B79" s="29"/>
    </row>
    <row r="80" ht="12.75">
      <c r="B80" s="29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</sheetData>
  <mergeCells count="4">
    <mergeCell ref="A9:D9"/>
    <mergeCell ref="A10:D10"/>
    <mergeCell ref="A12:D12"/>
    <mergeCell ref="B14:D14"/>
  </mergeCells>
  <printOptions/>
  <pageMargins left="1.1811023622047245" right="0.5905511811023623" top="1.3779527559055118" bottom="1.062992125984252" header="0.5118110236220472" footer="0.5118110236220472"/>
  <pageSetup fitToHeight="1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zoomScale="75" zoomScaleNormal="75" workbookViewId="0" topLeftCell="A1">
      <selection activeCell="D12" sqref="D12"/>
    </sheetView>
  </sheetViews>
  <sheetFormatPr defaultColWidth="11.421875" defaultRowHeight="12.75"/>
  <cols>
    <col min="1" max="1" width="39.57421875" style="55" customWidth="1"/>
    <col min="2" max="4" width="17.7109375" style="55" customWidth="1"/>
    <col min="5" max="16384" width="11.421875" style="55" customWidth="1"/>
  </cols>
  <sheetData>
    <row r="1" spans="2:4" ht="12.75">
      <c r="B1" s="56"/>
      <c r="C1" s="56"/>
      <c r="D1" s="56"/>
    </row>
    <row r="2" spans="2:4" ht="12.75">
      <c r="B2" s="56"/>
      <c r="C2" s="56"/>
      <c r="D2" s="57" t="s">
        <v>301</v>
      </c>
    </row>
    <row r="3" spans="1:4" ht="12.75">
      <c r="A3" s="408" t="s">
        <v>1</v>
      </c>
      <c r="B3" s="408"/>
      <c r="C3" s="408"/>
      <c r="D3" s="408"/>
    </row>
    <row r="4" spans="1:4" ht="12.75">
      <c r="A4" s="409" t="s">
        <v>2</v>
      </c>
      <c r="B4" s="409"/>
      <c r="C4" s="409"/>
      <c r="D4" s="409"/>
    </row>
    <row r="5" spans="1:4" ht="12.75">
      <c r="A5" s="409" t="s">
        <v>302</v>
      </c>
      <c r="B5" s="409"/>
      <c r="C5" s="409"/>
      <c r="D5" s="409"/>
    </row>
    <row r="6" spans="1:4" ht="13.5" thickBot="1">
      <c r="A6" s="58"/>
      <c r="B6" s="411"/>
      <c r="C6" s="411"/>
      <c r="D6" s="411"/>
    </row>
    <row r="7" spans="1:4" ht="13.5" thickBot="1">
      <c r="A7" s="195" t="s">
        <v>65</v>
      </c>
      <c r="B7" s="195">
        <v>2007</v>
      </c>
      <c r="C7" s="195">
        <v>2008</v>
      </c>
      <c r="D7" s="195">
        <v>2009</v>
      </c>
    </row>
    <row r="8" spans="1:4" ht="12.75">
      <c r="A8" s="240"/>
      <c r="B8" s="241"/>
      <c r="C8" s="241"/>
      <c r="D8" s="241"/>
    </row>
    <row r="9" spans="1:4" ht="12.75">
      <c r="A9" s="63" t="s">
        <v>303</v>
      </c>
      <c r="B9" s="242">
        <f>B10+B14+B18+B19+B20+B21</f>
        <v>6867434753</v>
      </c>
      <c r="C9" s="242">
        <f>C10+C14+C18+C19+C20+C21</f>
        <v>7222563036</v>
      </c>
      <c r="D9" s="242">
        <f>D10+D14+D18+D19+D20+D21</f>
        <v>7670068109</v>
      </c>
    </row>
    <row r="10" spans="1:4" ht="12.75">
      <c r="A10" s="69" t="s">
        <v>304</v>
      </c>
      <c r="B10" s="243">
        <f>SUM(B11:B13)</f>
        <v>4267186377</v>
      </c>
      <c r="C10" s="243">
        <f>SUM(C11:C13)</f>
        <v>4497470595</v>
      </c>
      <c r="D10" s="243">
        <f>SUM(D11:D13)</f>
        <v>4817056733</v>
      </c>
    </row>
    <row r="11" spans="1:4" ht="12.75">
      <c r="A11" s="69" t="s">
        <v>305</v>
      </c>
      <c r="B11" s="243">
        <v>3200936423</v>
      </c>
      <c r="C11" s="243">
        <v>3459423059</v>
      </c>
      <c r="D11" s="243">
        <v>3678673440</v>
      </c>
    </row>
    <row r="12" spans="1:4" ht="12.75">
      <c r="A12" s="69" t="s">
        <v>306</v>
      </c>
      <c r="B12" s="243">
        <v>1064249954</v>
      </c>
      <c r="C12" s="243">
        <v>1036047536</v>
      </c>
      <c r="D12" s="243">
        <v>1136383293</v>
      </c>
    </row>
    <row r="13" spans="1:4" s="244" customFormat="1" ht="12.75">
      <c r="A13" s="69" t="s">
        <v>307</v>
      </c>
      <c r="B13" s="243">
        <v>2000000</v>
      </c>
      <c r="C13" s="243">
        <v>2000000</v>
      </c>
      <c r="D13" s="243">
        <v>2000000</v>
      </c>
    </row>
    <row r="14" spans="1:4" ht="12.75">
      <c r="A14" s="69" t="s">
        <v>308</v>
      </c>
      <c r="B14" s="243">
        <f>SUM(B15:B17)</f>
        <v>76562344</v>
      </c>
      <c r="C14" s="243">
        <f>SUM(C15:C17)</f>
        <v>81366033</v>
      </c>
      <c r="D14" s="243">
        <f>SUM(D15:D17)</f>
        <v>84368215</v>
      </c>
    </row>
    <row r="15" spans="1:4" ht="12.75">
      <c r="A15" s="69" t="s">
        <v>309</v>
      </c>
      <c r="B15" s="243">
        <v>74321232</v>
      </c>
      <c r="C15" s="243">
        <v>79012865</v>
      </c>
      <c r="D15" s="243">
        <v>81930333</v>
      </c>
    </row>
    <row r="16" spans="1:4" ht="12.75" hidden="1">
      <c r="A16" s="69" t="s">
        <v>310</v>
      </c>
      <c r="B16" s="243">
        <v>0</v>
      </c>
      <c r="C16" s="243"/>
      <c r="D16" s="243"/>
    </row>
    <row r="17" spans="1:4" ht="12.75">
      <c r="A17" s="69" t="s">
        <v>311</v>
      </c>
      <c r="B17" s="243">
        <v>2241112</v>
      </c>
      <c r="C17" s="243">
        <v>2353168</v>
      </c>
      <c r="D17" s="243">
        <v>2437882</v>
      </c>
    </row>
    <row r="18" spans="1:4" ht="12.75">
      <c r="A18" s="69" t="s">
        <v>312</v>
      </c>
      <c r="B18" s="243">
        <v>1044966394</v>
      </c>
      <c r="C18" s="243">
        <v>1091752754</v>
      </c>
      <c r="D18" s="243">
        <v>1127478367</v>
      </c>
    </row>
    <row r="19" spans="1:4" ht="12.75">
      <c r="A19" s="69" t="s">
        <v>313</v>
      </c>
      <c r="B19" s="243">
        <v>4200000</v>
      </c>
      <c r="C19" s="243">
        <v>4410000</v>
      </c>
      <c r="D19" s="243">
        <v>4568760</v>
      </c>
    </row>
    <row r="20" spans="1:4" ht="12.75">
      <c r="A20" s="69" t="s">
        <v>314</v>
      </c>
      <c r="B20" s="243">
        <v>800</v>
      </c>
      <c r="C20" s="243">
        <v>1299</v>
      </c>
      <c r="D20" s="243">
        <v>1051</v>
      </c>
    </row>
    <row r="21" spans="1:4" ht="12.75">
      <c r="A21" s="69" t="s">
        <v>315</v>
      </c>
      <c r="B21" s="243">
        <f>SUM(B22:B23)</f>
        <v>1474518838</v>
      </c>
      <c r="C21" s="243">
        <f>SUM(C22:C23)</f>
        <v>1547562355</v>
      </c>
      <c r="D21" s="243">
        <f>SUM(D22:D23)</f>
        <v>1636594983</v>
      </c>
    </row>
    <row r="22" spans="1:4" ht="12.75">
      <c r="A22" s="69" t="s">
        <v>316</v>
      </c>
      <c r="B22" s="243">
        <v>671814332</v>
      </c>
      <c r="C22" s="243">
        <v>727366337</v>
      </c>
      <c r="D22" s="243">
        <v>778046730</v>
      </c>
    </row>
    <row r="23" spans="1:4" ht="12.75">
      <c r="A23" s="69" t="s">
        <v>317</v>
      </c>
      <c r="B23" s="243">
        <v>802704506</v>
      </c>
      <c r="C23" s="243">
        <v>820196018</v>
      </c>
      <c r="D23" s="243">
        <v>858548253</v>
      </c>
    </row>
    <row r="24" spans="1:4" ht="12.75">
      <c r="A24" s="69"/>
      <c r="B24" s="243">
        <v>0</v>
      </c>
      <c r="C24" s="243"/>
      <c r="D24" s="243"/>
    </row>
    <row r="25" spans="1:4" s="244" customFormat="1" ht="12.75">
      <c r="A25" s="63" t="s">
        <v>318</v>
      </c>
      <c r="B25" s="242">
        <f>B26+B30+B33</f>
        <v>1280092628</v>
      </c>
      <c r="C25" s="242">
        <f>C26+C30+C33</f>
        <v>1541862698</v>
      </c>
      <c r="D25" s="242">
        <f>D26+D30+D33</f>
        <v>1662343692</v>
      </c>
    </row>
    <row r="26" spans="1:4" ht="12.75">
      <c r="A26" s="69" t="s">
        <v>319</v>
      </c>
      <c r="B26" s="243">
        <f>SUM(B27:B29)</f>
        <v>989097227</v>
      </c>
      <c r="C26" s="243">
        <f>SUM(C27:C29)</f>
        <v>1190640327</v>
      </c>
      <c r="D26" s="243">
        <f>SUM(D27:D29)</f>
        <v>1292069943</v>
      </c>
    </row>
    <row r="27" spans="1:4" ht="12.75">
      <c r="A27" s="69" t="s">
        <v>320</v>
      </c>
      <c r="B27" s="243">
        <v>957222227</v>
      </c>
      <c r="C27" s="243">
        <v>1186745327</v>
      </c>
      <c r="D27" s="243">
        <v>1288159823</v>
      </c>
    </row>
    <row r="28" spans="1:4" ht="12.75">
      <c r="A28" s="69" t="s">
        <v>321</v>
      </c>
      <c r="B28" s="243">
        <v>19600000</v>
      </c>
      <c r="C28" s="243">
        <v>3620000</v>
      </c>
      <c r="D28" s="243">
        <v>3635120</v>
      </c>
    </row>
    <row r="29" spans="1:4" ht="12.75">
      <c r="A29" s="69" t="s">
        <v>322</v>
      </c>
      <c r="B29" s="243">
        <v>12275000</v>
      </c>
      <c r="C29" s="243">
        <v>275000</v>
      </c>
      <c r="D29" s="243">
        <v>275000</v>
      </c>
    </row>
    <row r="30" spans="1:4" ht="12.75">
      <c r="A30" s="69" t="s">
        <v>323</v>
      </c>
      <c r="B30" s="243">
        <f>SUM(B31:B32)</f>
        <v>134969504</v>
      </c>
      <c r="C30" s="243">
        <f>SUM(C31:C32)</f>
        <v>77670184</v>
      </c>
      <c r="D30" s="243">
        <f>SUM(D31:D32)</f>
        <v>66638116</v>
      </c>
    </row>
    <row r="31" spans="1:4" ht="12.75">
      <c r="A31" s="69" t="s">
        <v>324</v>
      </c>
      <c r="B31" s="243">
        <v>15846422</v>
      </c>
      <c r="C31" s="243">
        <v>23371422</v>
      </c>
      <c r="D31" s="243">
        <v>39371422</v>
      </c>
    </row>
    <row r="32" spans="1:4" ht="12.75">
      <c r="A32" s="69" t="s">
        <v>325</v>
      </c>
      <c r="B32" s="243">
        <v>119123082</v>
      </c>
      <c r="C32" s="243">
        <v>54298762</v>
      </c>
      <c r="D32" s="243">
        <v>27266694</v>
      </c>
    </row>
    <row r="33" spans="1:4" ht="12" customHeight="1">
      <c r="A33" s="69" t="s">
        <v>326</v>
      </c>
      <c r="B33" s="243">
        <f>SUM(B34:B36)</f>
        <v>156025897</v>
      </c>
      <c r="C33" s="243">
        <f>SUM(C34:C36)</f>
        <v>273552187</v>
      </c>
      <c r="D33" s="243">
        <f>SUM(D34:D36)</f>
        <v>303635633</v>
      </c>
    </row>
    <row r="34" spans="1:4" ht="12.75">
      <c r="A34" s="69" t="s">
        <v>327</v>
      </c>
      <c r="B34" s="243">
        <v>44594000</v>
      </c>
      <c r="C34" s="243">
        <v>48000</v>
      </c>
      <c r="D34" s="243">
        <v>48000</v>
      </c>
    </row>
    <row r="35" spans="1:4" ht="12.75" hidden="1">
      <c r="A35" s="245" t="s">
        <v>328</v>
      </c>
      <c r="B35" s="243">
        <v>0</v>
      </c>
      <c r="C35" s="243"/>
      <c r="D35" s="243"/>
    </row>
    <row r="36" spans="1:4" ht="12.75">
      <c r="A36" s="69" t="s">
        <v>329</v>
      </c>
      <c r="B36" s="243">
        <v>111431897</v>
      </c>
      <c r="C36" s="243">
        <v>273504187</v>
      </c>
      <c r="D36" s="243">
        <v>303587633</v>
      </c>
    </row>
    <row r="37" spans="1:4" ht="21.75" customHeight="1">
      <c r="A37" s="70" t="s">
        <v>62</v>
      </c>
      <c r="B37" s="242">
        <f>+B9+B25</f>
        <v>8147527381</v>
      </c>
      <c r="C37" s="242">
        <f>+C9+C25</f>
        <v>8764425734</v>
      </c>
      <c r="D37" s="242">
        <f>+D9+D25</f>
        <v>9332411801</v>
      </c>
    </row>
    <row r="38" spans="1:4" ht="13.5" thickBot="1">
      <c r="A38" s="71"/>
      <c r="B38" s="246"/>
      <c r="C38" s="246"/>
      <c r="D38" s="246"/>
    </row>
  </sheetData>
  <mergeCells count="4">
    <mergeCell ref="A3:D3"/>
    <mergeCell ref="A4:D4"/>
    <mergeCell ref="A5:D5"/>
    <mergeCell ref="B6:D6"/>
  </mergeCells>
  <printOptions/>
  <pageMargins left="1.3385826771653544" right="0.5905511811023623" top="2.086614173228346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8"/>
  <sheetViews>
    <sheetView showGridLines="0" showZeros="0" zoomScale="75" zoomScaleNormal="75" workbookViewId="0" topLeftCell="A1">
      <selection activeCell="D37" sqref="D37"/>
    </sheetView>
  </sheetViews>
  <sheetFormatPr defaultColWidth="11.421875" defaultRowHeight="12.75"/>
  <cols>
    <col min="1" max="1" width="4.57421875" style="0" customWidth="1"/>
    <col min="2" max="2" width="38.140625" style="0" customWidth="1"/>
    <col min="3" max="3" width="16.28125" style="0" customWidth="1"/>
    <col min="4" max="4" width="16.7109375" style="0" customWidth="1"/>
    <col min="5" max="5" width="15.8515625" style="0" customWidth="1"/>
    <col min="6" max="6" width="14.00390625" style="0" customWidth="1"/>
  </cols>
  <sheetData>
    <row r="1" spans="2:3" ht="13.5">
      <c r="B1" s="422"/>
      <c r="C1" s="422"/>
    </row>
    <row r="2" spans="2:5" ht="13.5">
      <c r="B2" s="247"/>
      <c r="C2" s="247"/>
      <c r="E2" s="191" t="s">
        <v>330</v>
      </c>
    </row>
    <row r="3" spans="2:3" ht="13.5">
      <c r="B3" s="247"/>
      <c r="C3" s="247"/>
    </row>
    <row r="4" spans="2:3" ht="13.5">
      <c r="B4" s="247"/>
      <c r="C4" s="247"/>
    </row>
    <row r="5" spans="2:5" ht="12.75">
      <c r="B5" s="408" t="s">
        <v>1</v>
      </c>
      <c r="C5" s="408"/>
      <c r="D5" s="408"/>
      <c r="E5" s="408"/>
    </row>
    <row r="6" spans="2:5" ht="12.75">
      <c r="B6" s="423" t="s">
        <v>2</v>
      </c>
      <c r="C6" s="423"/>
      <c r="D6" s="423"/>
      <c r="E6" s="423"/>
    </row>
    <row r="7" spans="2:5" ht="12.75">
      <c r="B7" s="423" t="s">
        <v>331</v>
      </c>
      <c r="C7" s="423"/>
      <c r="D7" s="423"/>
      <c r="E7" s="423"/>
    </row>
    <row r="9" spans="3:5" ht="12.75">
      <c r="C9" s="411"/>
      <c r="D9" s="411"/>
      <c r="E9" s="411"/>
    </row>
    <row r="10" spans="2:5" ht="12.75">
      <c r="B10" s="248" t="s">
        <v>332</v>
      </c>
      <c r="C10" s="195">
        <v>2007</v>
      </c>
      <c r="D10" s="195">
        <v>2008</v>
      </c>
      <c r="E10" s="195">
        <v>2009</v>
      </c>
    </row>
    <row r="11" spans="2:5" ht="12.75">
      <c r="B11" s="249"/>
      <c r="C11" s="250"/>
      <c r="D11" s="251"/>
      <c r="E11" s="251"/>
    </row>
    <row r="12" spans="2:5" ht="12.75">
      <c r="B12" s="252" t="s">
        <v>333</v>
      </c>
      <c r="C12" s="253">
        <v>3233810858</v>
      </c>
      <c r="D12" s="254">
        <v>3493307654</v>
      </c>
      <c r="E12" s="254">
        <v>3713749164</v>
      </c>
    </row>
    <row r="13" spans="2:5" ht="12.75">
      <c r="B13" s="252" t="s">
        <v>334</v>
      </c>
      <c r="C13" s="253">
        <v>208019196</v>
      </c>
      <c r="D13" s="254">
        <v>214894738</v>
      </c>
      <c r="E13" s="254">
        <v>223879045</v>
      </c>
    </row>
    <row r="14" spans="2:5" ht="12.75">
      <c r="B14" s="252" t="s">
        <v>335</v>
      </c>
      <c r="C14" s="253">
        <v>898343765</v>
      </c>
      <c r="D14" s="254">
        <v>858056260</v>
      </c>
      <c r="E14" s="254">
        <v>950232841</v>
      </c>
    </row>
    <row r="15" spans="2:5" ht="12.75">
      <c r="B15" s="252" t="s">
        <v>336</v>
      </c>
      <c r="C15" s="253">
        <v>920550897</v>
      </c>
      <c r="D15" s="254">
        <v>1126615438</v>
      </c>
      <c r="E15" s="254">
        <v>1226272268</v>
      </c>
    </row>
    <row r="16" spans="2:5" ht="12.75" hidden="1">
      <c r="B16" s="252" t="s">
        <v>337</v>
      </c>
      <c r="C16" s="253">
        <v>0</v>
      </c>
      <c r="D16" s="254"/>
      <c r="E16" s="254"/>
    </row>
    <row r="17" spans="2:5" ht="12.75">
      <c r="B17" s="252" t="s">
        <v>338</v>
      </c>
      <c r="C17" s="253">
        <v>2654454736</v>
      </c>
      <c r="D17" s="254">
        <v>2716985293</v>
      </c>
      <c r="E17" s="254">
        <v>2830711466</v>
      </c>
    </row>
    <row r="18" spans="2:5" ht="12.75">
      <c r="B18" s="252" t="s">
        <v>339</v>
      </c>
      <c r="C18" s="253">
        <v>156025897</v>
      </c>
      <c r="D18" s="254">
        <v>273552187</v>
      </c>
      <c r="E18" s="254">
        <v>303635633</v>
      </c>
    </row>
    <row r="19" spans="2:5" ht="12.75">
      <c r="B19" s="252" t="s">
        <v>340</v>
      </c>
      <c r="C19" s="253">
        <v>74321232</v>
      </c>
      <c r="D19" s="254">
        <v>79012865</v>
      </c>
      <c r="E19" s="254">
        <v>81930333</v>
      </c>
    </row>
    <row r="20" spans="2:5" ht="12.75">
      <c r="B20" s="252" t="s">
        <v>341</v>
      </c>
      <c r="C20" s="253">
        <v>2000800</v>
      </c>
      <c r="D20" s="254">
        <v>2001299</v>
      </c>
      <c r="E20" s="254">
        <v>2001051</v>
      </c>
    </row>
    <row r="21" spans="2:5" ht="12.75">
      <c r="B21" s="255"/>
      <c r="C21" s="253"/>
      <c r="D21" s="254"/>
      <c r="E21" s="254"/>
    </row>
    <row r="22" spans="2:5" ht="12.75">
      <c r="B22" s="256"/>
      <c r="C22" s="257"/>
      <c r="D22" s="258"/>
      <c r="E22" s="258"/>
    </row>
    <row r="23" spans="2:5" ht="12.75">
      <c r="B23" s="255" t="s">
        <v>342</v>
      </c>
      <c r="C23" s="253">
        <f>SUM(C12:C22)</f>
        <v>8147527381</v>
      </c>
      <c r="D23" s="253">
        <f>SUM(D12:D22)</f>
        <v>8764425734</v>
      </c>
      <c r="E23" s="253">
        <f>SUM(E12:E22)</f>
        <v>9332411801</v>
      </c>
    </row>
    <row r="24" spans="2:5" ht="12.75">
      <c r="B24" s="255"/>
      <c r="C24" s="253"/>
      <c r="D24" s="254"/>
      <c r="E24" s="254"/>
    </row>
    <row r="25" spans="2:5" ht="12.75">
      <c r="B25" s="259"/>
      <c r="C25" s="260"/>
      <c r="D25" s="261"/>
      <c r="E25" s="261"/>
    </row>
    <row r="26" spans="2:6" ht="12.75">
      <c r="B26" s="252"/>
      <c r="C26" s="253"/>
      <c r="D26" s="254"/>
      <c r="E26" s="254"/>
      <c r="F26" s="238"/>
    </row>
    <row r="27" spans="2:5" ht="12.75">
      <c r="B27" s="262" t="s">
        <v>343</v>
      </c>
      <c r="C27" s="253">
        <v>386369199</v>
      </c>
      <c r="D27" s="254">
        <v>525197036</v>
      </c>
      <c r="E27" s="254">
        <v>485775536</v>
      </c>
    </row>
    <row r="28" spans="2:5" ht="12.75">
      <c r="B28" s="263"/>
      <c r="C28" s="253"/>
      <c r="D28" s="254"/>
      <c r="E28" s="254"/>
    </row>
    <row r="29" spans="2:5" ht="12.75">
      <c r="B29" s="262"/>
      <c r="C29" s="264"/>
      <c r="D29" s="265"/>
      <c r="E29" s="265"/>
    </row>
    <row r="30" spans="2:5" ht="12.75">
      <c r="B30" s="256"/>
      <c r="C30" s="266"/>
      <c r="D30" s="267"/>
      <c r="E30" s="267"/>
    </row>
    <row r="31" spans="2:5" ht="15.75" customHeight="1">
      <c r="B31" s="268" t="s">
        <v>148</v>
      </c>
      <c r="C31" s="269">
        <f>+C23+C27</f>
        <v>8533896580</v>
      </c>
      <c r="D31" s="269">
        <f>+D23+D27</f>
        <v>9289622770</v>
      </c>
      <c r="E31" s="269">
        <f>+E23+E27</f>
        <v>9818187337</v>
      </c>
    </row>
    <row r="32" spans="2:5" ht="12.75" hidden="1">
      <c r="B32" s="252"/>
      <c r="C32" s="270"/>
      <c r="D32" s="271"/>
      <c r="E32" s="271"/>
    </row>
    <row r="33" spans="2:5" ht="12.75" hidden="1">
      <c r="B33" s="255" t="s">
        <v>344</v>
      </c>
      <c r="C33" s="272">
        <v>633072286</v>
      </c>
      <c r="D33" s="273"/>
      <c r="E33" s="273"/>
    </row>
    <row r="34" spans="2:5" ht="12.75" customHeight="1" hidden="1">
      <c r="B34" s="262" t="s">
        <v>345</v>
      </c>
      <c r="C34" s="274"/>
      <c r="D34" s="273"/>
      <c r="E34" s="273"/>
    </row>
    <row r="35" spans="2:5" ht="12.75" hidden="1">
      <c r="B35" s="275"/>
      <c r="C35" s="276"/>
      <c r="D35" s="277"/>
      <c r="E35" s="277"/>
    </row>
    <row r="37" spans="3:5" ht="12.75">
      <c r="C37" s="238"/>
      <c r="D37" s="238"/>
      <c r="E37" s="238"/>
    </row>
    <row r="38" ht="12.75">
      <c r="C38" s="238"/>
    </row>
  </sheetData>
  <mergeCells count="5">
    <mergeCell ref="C9:E9"/>
    <mergeCell ref="B1:C1"/>
    <mergeCell ref="B5:E5"/>
    <mergeCell ref="B6:E6"/>
    <mergeCell ref="B7:E7"/>
  </mergeCells>
  <printOptions/>
  <pageMargins left="1.1811023622047245" right="0.7480314960629921" top="1.7716535433070868" bottom="1.062992125984252" header="0.5118110236220472" footer="0.5118110236220472"/>
  <pageSetup fitToHeight="1" fitToWidth="1"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showZeros="0" zoomScale="70" zoomScaleNormal="70" workbookViewId="0" topLeftCell="A1">
      <selection activeCell="E8" sqref="E8"/>
    </sheetView>
  </sheetViews>
  <sheetFormatPr defaultColWidth="11.421875" defaultRowHeight="12.75"/>
  <cols>
    <col min="1" max="1" width="36.00390625" style="278" customWidth="1"/>
    <col min="2" max="2" width="18.140625" style="0" customWidth="1"/>
    <col min="3" max="23" width="17.28125" style="0" customWidth="1"/>
  </cols>
  <sheetData>
    <row r="1" ht="12.75">
      <c r="D1" s="191" t="s">
        <v>346</v>
      </c>
    </row>
    <row r="2" spans="1:4" ht="25.5" customHeight="1">
      <c r="A2" s="408" t="s">
        <v>1</v>
      </c>
      <c r="B2" s="408"/>
      <c r="C2" s="408"/>
      <c r="D2" s="408"/>
    </row>
    <row r="3" spans="1:4" ht="24.75" customHeight="1">
      <c r="A3" s="424" t="s">
        <v>347</v>
      </c>
      <c r="B3" s="424"/>
      <c r="C3" s="424"/>
      <c r="D3" s="424"/>
    </row>
    <row r="4" spans="1:2" ht="13.5" customHeight="1">
      <c r="A4" s="279"/>
      <c r="B4" s="279"/>
    </row>
    <row r="5" spans="1:4" ht="18.75" customHeight="1">
      <c r="A5" s="425" t="s">
        <v>348</v>
      </c>
      <c r="B5" s="425"/>
      <c r="C5" s="425"/>
      <c r="D5" s="425"/>
    </row>
    <row r="6" spans="1:2" ht="18.75" customHeight="1">
      <c r="A6" s="426"/>
      <c r="B6" s="426"/>
    </row>
    <row r="7" ht="12.75">
      <c r="A7" s="280"/>
    </row>
    <row r="8" spans="1:4" s="282" customFormat="1" ht="48" customHeight="1">
      <c r="A8" s="281" t="s">
        <v>4</v>
      </c>
      <c r="B8" s="281">
        <v>2007</v>
      </c>
      <c r="C8" s="281">
        <v>2008</v>
      </c>
      <c r="D8" s="281">
        <v>2009</v>
      </c>
    </row>
    <row r="9" spans="1:5" s="282" customFormat="1" ht="39.75" customHeight="1">
      <c r="A9" s="283" t="s">
        <v>349</v>
      </c>
      <c r="B9" s="284">
        <f>B10+B11+B12</f>
        <v>704533686</v>
      </c>
      <c r="C9" s="284">
        <f>SUM(C10:C13)</f>
        <v>743339398</v>
      </c>
      <c r="D9" s="284">
        <f>SUM(D10:D13)</f>
        <v>775691633</v>
      </c>
      <c r="E9" s="285"/>
    </row>
    <row r="10" spans="1:4" s="282" customFormat="1" ht="27" customHeight="1">
      <c r="A10" s="283" t="s">
        <v>350</v>
      </c>
      <c r="B10" s="286">
        <v>388485106</v>
      </c>
      <c r="C10" s="286">
        <v>409797849</v>
      </c>
      <c r="D10" s="286">
        <v>425943988</v>
      </c>
    </row>
    <row r="11" spans="1:4" s="282" customFormat="1" ht="21" customHeight="1">
      <c r="A11" s="283" t="s">
        <v>351</v>
      </c>
      <c r="B11" s="286">
        <v>173533175</v>
      </c>
      <c r="C11" s="286">
        <v>188167534</v>
      </c>
      <c r="D11" s="286">
        <v>201414970</v>
      </c>
    </row>
    <row r="12" spans="1:4" s="282" customFormat="1" ht="21.75" customHeight="1">
      <c r="A12" s="283" t="s">
        <v>352</v>
      </c>
      <c r="B12" s="286">
        <v>142515405</v>
      </c>
      <c r="C12" s="286">
        <v>145374015</v>
      </c>
      <c r="D12" s="286">
        <v>148332675</v>
      </c>
    </row>
    <row r="13" spans="1:4" s="282" customFormat="1" ht="14.25" customHeight="1">
      <c r="A13" s="283"/>
      <c r="B13" s="284"/>
      <c r="C13" s="284"/>
      <c r="D13" s="284"/>
    </row>
    <row r="14" spans="1:16" ht="39.75" customHeight="1">
      <c r="A14" s="287" t="s">
        <v>353</v>
      </c>
      <c r="B14" s="288">
        <f>+B9+B13</f>
        <v>704533686</v>
      </c>
      <c r="C14" s="288">
        <f>+C9</f>
        <v>743339398</v>
      </c>
      <c r="D14" s="288">
        <f>+D9</f>
        <v>775691633</v>
      </c>
      <c r="E14" s="289"/>
      <c r="F14" s="289"/>
      <c r="G14" s="289"/>
      <c r="H14" s="289"/>
      <c r="I14" s="289"/>
      <c r="J14" s="290"/>
      <c r="K14" s="290"/>
      <c r="L14" s="290"/>
      <c r="M14" s="290"/>
      <c r="N14" s="290"/>
      <c r="O14" s="290"/>
      <c r="P14" s="290"/>
    </row>
    <row r="15" spans="1:16" ht="12.75">
      <c r="A15" s="291"/>
      <c r="B15" s="289"/>
      <c r="C15" s="289"/>
      <c r="D15" s="289"/>
      <c r="E15" s="289"/>
      <c r="F15" s="289"/>
      <c r="G15" s="289"/>
      <c r="H15" s="289"/>
      <c r="I15" s="289"/>
      <c r="J15" s="290"/>
      <c r="K15" s="290"/>
      <c r="L15" s="290"/>
      <c r="M15" s="290"/>
      <c r="N15" s="290"/>
      <c r="O15" s="290"/>
      <c r="P15" s="290"/>
    </row>
    <row r="16" spans="1:16" ht="12.75">
      <c r="A16" s="291"/>
      <c r="B16" s="289"/>
      <c r="C16" s="289"/>
      <c r="D16" s="289"/>
      <c r="E16" s="289"/>
      <c r="F16" s="289"/>
      <c r="G16" s="289"/>
      <c r="H16" s="289"/>
      <c r="I16" s="289"/>
      <c r="J16" s="290"/>
      <c r="K16" s="290"/>
      <c r="L16" s="290"/>
      <c r="M16" s="290"/>
      <c r="N16" s="290"/>
      <c r="O16" s="290"/>
      <c r="P16" s="290"/>
    </row>
    <row r="17" spans="1:16" ht="12.75">
      <c r="A17" s="291"/>
      <c r="B17" s="289"/>
      <c r="C17" s="289"/>
      <c r="D17" s="289"/>
      <c r="E17" s="289"/>
      <c r="F17" s="289"/>
      <c r="G17" s="289"/>
      <c r="H17" s="289"/>
      <c r="I17" s="289"/>
      <c r="J17" s="290"/>
      <c r="K17" s="290"/>
      <c r="L17" s="290"/>
      <c r="M17" s="290"/>
      <c r="N17" s="290"/>
      <c r="O17" s="290"/>
      <c r="P17" s="290"/>
    </row>
    <row r="18" spans="1:16" ht="12.75">
      <c r="A18" s="239"/>
      <c r="B18" s="289"/>
      <c r="C18" s="289"/>
      <c r="D18" s="289"/>
      <c r="E18" s="289"/>
      <c r="F18" s="289"/>
      <c r="G18" s="289"/>
      <c r="H18" s="289"/>
      <c r="I18" s="289"/>
      <c r="J18" s="290"/>
      <c r="K18" s="290"/>
      <c r="L18" s="290"/>
      <c r="M18" s="290"/>
      <c r="N18" s="290"/>
      <c r="O18" s="290"/>
      <c r="P18" s="290"/>
    </row>
    <row r="19" spans="1:16" ht="12.75">
      <c r="A19" s="291"/>
      <c r="B19" s="289"/>
      <c r="C19" s="289"/>
      <c r="D19" s="289"/>
      <c r="E19" s="289"/>
      <c r="F19" s="289"/>
      <c r="G19" s="289"/>
      <c r="H19" s="289"/>
      <c r="I19" s="289"/>
      <c r="J19" s="290"/>
      <c r="K19" s="290"/>
      <c r="L19" s="290"/>
      <c r="M19" s="290"/>
      <c r="N19" s="290"/>
      <c r="O19" s="290"/>
      <c r="P19" s="290"/>
    </row>
    <row r="20" spans="1:16" ht="12.75">
      <c r="A20" s="291"/>
      <c r="B20" s="289"/>
      <c r="C20" s="289"/>
      <c r="D20" s="289"/>
      <c r="E20" s="289"/>
      <c r="F20" s="289"/>
      <c r="G20" s="289"/>
      <c r="H20" s="289"/>
      <c r="I20" s="289"/>
      <c r="J20" s="290"/>
      <c r="K20" s="290"/>
      <c r="L20" s="290"/>
      <c r="M20" s="290"/>
      <c r="N20" s="290"/>
      <c r="O20" s="290"/>
      <c r="P20" s="290"/>
    </row>
    <row r="21" spans="1:16" ht="12.75">
      <c r="A21" s="291"/>
      <c r="B21" s="289"/>
      <c r="C21" s="289"/>
      <c r="D21" s="289"/>
      <c r="E21" s="289"/>
      <c r="F21" s="289"/>
      <c r="G21" s="289"/>
      <c r="H21" s="289"/>
      <c r="I21" s="289"/>
      <c r="J21" s="290"/>
      <c r="K21" s="290"/>
      <c r="L21" s="290"/>
      <c r="M21" s="290"/>
      <c r="N21" s="290"/>
      <c r="O21" s="290"/>
      <c r="P21" s="290"/>
    </row>
    <row r="22" spans="1:16" ht="12.75">
      <c r="A22" s="291"/>
      <c r="B22" s="289"/>
      <c r="C22" s="289"/>
      <c r="D22" s="289"/>
      <c r="E22" s="289"/>
      <c r="F22" s="289"/>
      <c r="G22" s="289"/>
      <c r="H22" s="289"/>
      <c r="I22" s="289"/>
      <c r="J22" s="290"/>
      <c r="K22" s="290"/>
      <c r="L22" s="290"/>
      <c r="M22" s="290"/>
      <c r="N22" s="290"/>
      <c r="O22" s="290"/>
      <c r="P22" s="290"/>
    </row>
    <row r="23" spans="1:16" ht="12.75">
      <c r="A23" s="291"/>
      <c r="B23" s="289"/>
      <c r="C23" s="289"/>
      <c r="D23" s="289"/>
      <c r="E23" s="289"/>
      <c r="F23" s="289"/>
      <c r="G23" s="289"/>
      <c r="H23" s="289"/>
      <c r="I23" s="289"/>
      <c r="J23" s="290"/>
      <c r="K23" s="290"/>
      <c r="L23" s="290"/>
      <c r="M23" s="290"/>
      <c r="N23" s="290"/>
      <c r="O23" s="290"/>
      <c r="P23" s="290"/>
    </row>
    <row r="24" spans="1:16" ht="12.75">
      <c r="A24" s="291"/>
      <c r="B24" s="289"/>
      <c r="C24" s="289"/>
      <c r="D24" s="289"/>
      <c r="E24" s="289"/>
      <c r="F24" s="289"/>
      <c r="G24" s="289"/>
      <c r="H24" s="289"/>
      <c r="I24" s="289"/>
      <c r="J24" s="290"/>
      <c r="K24" s="290"/>
      <c r="L24" s="290"/>
      <c r="M24" s="290"/>
      <c r="N24" s="290"/>
      <c r="O24" s="290"/>
      <c r="P24" s="290"/>
    </row>
    <row r="25" spans="1:16" ht="12.75">
      <c r="A25" s="291"/>
      <c r="B25" s="289"/>
      <c r="C25" s="289"/>
      <c r="D25" s="289"/>
      <c r="E25" s="289"/>
      <c r="F25" s="289"/>
      <c r="G25" s="289"/>
      <c r="H25" s="289"/>
      <c r="I25" s="289"/>
      <c r="J25" s="290"/>
      <c r="K25" s="290"/>
      <c r="L25" s="290"/>
      <c r="M25" s="290"/>
      <c r="N25" s="290"/>
      <c r="O25" s="290"/>
      <c r="P25" s="290"/>
    </row>
    <row r="26" spans="1:16" ht="12.75">
      <c r="A26" s="291"/>
      <c r="B26" s="289"/>
      <c r="C26" s="289"/>
      <c r="D26" s="289"/>
      <c r="E26" s="289"/>
      <c r="F26" s="289"/>
      <c r="G26" s="289"/>
      <c r="H26" s="289"/>
      <c r="I26" s="289"/>
      <c r="J26" s="290"/>
      <c r="K26" s="290"/>
      <c r="L26" s="290"/>
      <c r="M26" s="290"/>
      <c r="N26" s="290"/>
      <c r="O26" s="290"/>
      <c r="P26" s="290"/>
    </row>
    <row r="27" spans="1:16" ht="12.75">
      <c r="A27" s="291"/>
      <c r="B27" s="289"/>
      <c r="C27" s="289"/>
      <c r="D27" s="289"/>
      <c r="E27" s="289"/>
      <c r="F27" s="289"/>
      <c r="G27" s="289"/>
      <c r="H27" s="289"/>
      <c r="I27" s="289"/>
      <c r="J27" s="290"/>
      <c r="K27" s="290"/>
      <c r="L27" s="290"/>
      <c r="M27" s="290"/>
      <c r="N27" s="290"/>
      <c r="O27" s="290"/>
      <c r="P27" s="290"/>
    </row>
    <row r="28" spans="1:16" ht="12.75">
      <c r="A28" s="291"/>
      <c r="B28" s="289"/>
      <c r="C28" s="289"/>
      <c r="D28" s="289"/>
      <c r="E28" s="289"/>
      <c r="F28" s="289"/>
      <c r="G28" s="289"/>
      <c r="H28" s="289"/>
      <c r="I28" s="289"/>
      <c r="J28" s="290"/>
      <c r="K28" s="290"/>
      <c r="L28" s="290"/>
      <c r="M28" s="290"/>
      <c r="N28" s="290"/>
      <c r="O28" s="290"/>
      <c r="P28" s="290"/>
    </row>
    <row r="29" spans="1:16" ht="12.75">
      <c r="A29" s="291"/>
      <c r="B29" s="289"/>
      <c r="C29" s="289"/>
      <c r="D29" s="289"/>
      <c r="E29" s="289"/>
      <c r="F29" s="289"/>
      <c r="G29" s="289"/>
      <c r="H29" s="289"/>
      <c r="I29" s="289"/>
      <c r="J29" s="290"/>
      <c r="K29" s="290"/>
      <c r="L29" s="290"/>
      <c r="M29" s="290"/>
      <c r="N29" s="290"/>
      <c r="O29" s="290"/>
      <c r="P29" s="290"/>
    </row>
    <row r="30" spans="1:16" ht="12.75">
      <c r="A30" s="291"/>
      <c r="B30" s="289"/>
      <c r="C30" s="289"/>
      <c r="D30" s="289"/>
      <c r="E30" s="289"/>
      <c r="F30" s="289"/>
      <c r="G30" s="289"/>
      <c r="H30" s="289"/>
      <c r="I30" s="289"/>
      <c r="J30" s="290"/>
      <c r="K30" s="290"/>
      <c r="L30" s="290"/>
      <c r="M30" s="290"/>
      <c r="N30" s="290"/>
      <c r="O30" s="290"/>
      <c r="P30" s="290"/>
    </row>
    <row r="31" spans="1:16" ht="12.75">
      <c r="A31" s="291"/>
      <c r="B31" s="289"/>
      <c r="C31" s="289"/>
      <c r="D31" s="289"/>
      <c r="E31" s="289"/>
      <c r="F31" s="289"/>
      <c r="G31" s="289"/>
      <c r="H31" s="289"/>
      <c r="I31" s="289"/>
      <c r="J31" s="290"/>
      <c r="K31" s="290"/>
      <c r="L31" s="290"/>
      <c r="M31" s="290"/>
      <c r="N31" s="290"/>
      <c r="O31" s="290"/>
      <c r="P31" s="290"/>
    </row>
    <row r="32" spans="1:16" ht="12.75">
      <c r="A32" s="291"/>
      <c r="B32" s="289"/>
      <c r="C32" s="289"/>
      <c r="D32" s="289"/>
      <c r="E32" s="289"/>
      <c r="F32" s="289"/>
      <c r="G32" s="289"/>
      <c r="H32" s="289"/>
      <c r="I32" s="289"/>
      <c r="J32" s="290"/>
      <c r="K32" s="290"/>
      <c r="L32" s="290"/>
      <c r="M32" s="290"/>
      <c r="N32" s="290"/>
      <c r="O32" s="290"/>
      <c r="P32" s="290"/>
    </row>
    <row r="33" spans="1:16" ht="12.75">
      <c r="A33" s="291"/>
      <c r="B33" s="289"/>
      <c r="C33" s="289"/>
      <c r="D33" s="289"/>
      <c r="E33" s="289"/>
      <c r="F33" s="289"/>
      <c r="G33" s="289"/>
      <c r="H33" s="289"/>
      <c r="I33" s="289"/>
      <c r="J33" s="290"/>
      <c r="K33" s="290"/>
      <c r="L33" s="290"/>
      <c r="M33" s="290"/>
      <c r="N33" s="290"/>
      <c r="O33" s="290"/>
      <c r="P33" s="290"/>
    </row>
    <row r="34" spans="1:16" ht="12.75">
      <c r="A34" s="291"/>
      <c r="B34" s="289"/>
      <c r="C34" s="289"/>
      <c r="D34" s="289"/>
      <c r="E34" s="289"/>
      <c r="F34" s="289"/>
      <c r="G34" s="289"/>
      <c r="H34" s="289"/>
      <c r="I34" s="289"/>
      <c r="J34" s="290"/>
      <c r="K34" s="290"/>
      <c r="L34" s="290"/>
      <c r="M34" s="290"/>
      <c r="N34" s="290"/>
      <c r="O34" s="290"/>
      <c r="P34" s="290"/>
    </row>
    <row r="35" spans="1:16" ht="12.75">
      <c r="A35" s="291"/>
      <c r="B35" s="289"/>
      <c r="C35" s="289"/>
      <c r="D35" s="289"/>
      <c r="E35" s="289"/>
      <c r="F35" s="289"/>
      <c r="G35" s="289"/>
      <c r="H35" s="289"/>
      <c r="I35" s="289"/>
      <c r="J35" s="290"/>
      <c r="K35" s="290"/>
      <c r="L35" s="290"/>
      <c r="M35" s="290"/>
      <c r="N35" s="290"/>
      <c r="O35" s="290"/>
      <c r="P35" s="290"/>
    </row>
    <row r="36" spans="1:16" ht="12.75">
      <c r="A36" s="291"/>
      <c r="B36" s="289"/>
      <c r="C36" s="289"/>
      <c r="D36" s="289"/>
      <c r="E36" s="289"/>
      <c r="F36" s="289"/>
      <c r="G36" s="289"/>
      <c r="H36" s="289"/>
      <c r="I36" s="289"/>
      <c r="J36" s="290"/>
      <c r="K36" s="290"/>
      <c r="L36" s="290"/>
      <c r="M36" s="290"/>
      <c r="N36" s="290"/>
      <c r="O36" s="290"/>
      <c r="P36" s="290"/>
    </row>
    <row r="37" spans="1:9" ht="12.75">
      <c r="A37" s="291"/>
      <c r="B37" s="20"/>
      <c r="C37" s="20"/>
      <c r="D37" s="20"/>
      <c r="E37" s="20"/>
      <c r="F37" s="20"/>
      <c r="G37" s="20"/>
      <c r="H37" s="20"/>
      <c r="I37" s="20"/>
    </row>
    <row r="38" spans="1:9" ht="12.75">
      <c r="A38" s="291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291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291"/>
      <c r="B40" s="20"/>
      <c r="C40" s="20"/>
      <c r="D40" s="20"/>
      <c r="E40" s="20"/>
      <c r="F40" s="20"/>
      <c r="G40" s="20"/>
      <c r="H40" s="20"/>
      <c r="I40" s="20"/>
    </row>
    <row r="41" spans="1:9" ht="12.75">
      <c r="A41" s="291"/>
      <c r="B41" s="20"/>
      <c r="C41" s="20"/>
      <c r="D41" s="20"/>
      <c r="E41" s="20"/>
      <c r="F41" s="20"/>
      <c r="G41" s="20"/>
      <c r="H41" s="20"/>
      <c r="I41" s="20"/>
    </row>
  </sheetData>
  <mergeCells count="4">
    <mergeCell ref="A2:D2"/>
    <mergeCell ref="A3:D3"/>
    <mergeCell ref="A5:D5"/>
    <mergeCell ref="A6:B6"/>
  </mergeCells>
  <printOptions horizontalCentered="1"/>
  <pageMargins left="1.3779527559055118" right="0.5905511811023623" top="1.7716535433070868" bottom="1.062992125984252" header="0.5118110236220472" footer="0.5118110236220472"/>
  <pageSetup fitToHeight="1" fitToWidth="1" horizontalDpi="300" verticalDpi="3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6"/>
  <sheetViews>
    <sheetView showGridLines="0" showZeros="0" zoomScale="75" zoomScaleNormal="75" workbookViewId="0" topLeftCell="A11">
      <selection activeCell="A35" sqref="A35"/>
    </sheetView>
  </sheetViews>
  <sheetFormatPr defaultColWidth="11.421875" defaultRowHeight="12.75"/>
  <cols>
    <col min="1" max="1" width="61.421875" style="292" customWidth="1"/>
    <col min="2" max="3" width="16.57421875" style="293" customWidth="1"/>
    <col min="4" max="4" width="16.7109375" style="293" customWidth="1"/>
  </cols>
  <sheetData>
    <row r="2" ht="12.75">
      <c r="D2" s="294" t="s">
        <v>354</v>
      </c>
    </row>
    <row r="3" spans="2:4" ht="12.75">
      <c r="B3" s="295"/>
      <c r="C3" s="295"/>
      <c r="D3" s="295"/>
    </row>
    <row r="4" spans="1:4" ht="12.75">
      <c r="A4" s="414" t="s">
        <v>1</v>
      </c>
      <c r="B4" s="414"/>
      <c r="C4" s="414"/>
      <c r="D4" s="414"/>
    </row>
    <row r="5" spans="1:4" ht="12.75">
      <c r="A5" s="296" t="s">
        <v>2</v>
      </c>
      <c r="B5" s="297"/>
      <c r="C5" s="297"/>
      <c r="D5" s="297"/>
    </row>
    <row r="6" spans="1:4" ht="12.75">
      <c r="A6" s="296" t="s">
        <v>355</v>
      </c>
      <c r="B6" s="297"/>
      <c r="C6" s="297"/>
      <c r="D6" s="297"/>
    </row>
    <row r="7" spans="1:4" ht="13.5" thickBot="1">
      <c r="A7" s="298"/>
      <c r="B7" s="427"/>
      <c r="C7" s="427"/>
      <c r="D7" s="427"/>
    </row>
    <row r="8" spans="1:4" ht="13.5" thickBot="1">
      <c r="A8" s="299" t="s">
        <v>65</v>
      </c>
      <c r="B8" s="299">
        <v>2007</v>
      </c>
      <c r="C8" s="299">
        <v>2008</v>
      </c>
      <c r="D8" s="299">
        <v>2009</v>
      </c>
    </row>
    <row r="9" spans="1:4" ht="12.75">
      <c r="A9" s="300"/>
      <c r="B9" s="301"/>
      <c r="C9" s="302"/>
      <c r="D9" s="302"/>
    </row>
    <row r="10" spans="1:4" ht="12.75">
      <c r="A10" s="303" t="s">
        <v>356</v>
      </c>
      <c r="B10" s="304">
        <f>B12+B15</f>
        <v>85847154</v>
      </c>
      <c r="C10" s="304">
        <f>C12+C15</f>
        <v>293297608</v>
      </c>
      <c r="D10" s="304">
        <f>D12+D15</f>
        <v>315078399</v>
      </c>
    </row>
    <row r="11" spans="1:4" ht="12.75">
      <c r="A11" s="303"/>
      <c r="B11" s="304"/>
      <c r="C11" s="304"/>
      <c r="D11" s="304"/>
    </row>
    <row r="12" spans="1:4" ht="12.75">
      <c r="A12" s="303" t="s">
        <v>357</v>
      </c>
      <c r="B12" s="304">
        <f>B13+B14</f>
        <v>200000</v>
      </c>
      <c r="C12" s="304">
        <f>C13+C14</f>
        <v>200000</v>
      </c>
      <c r="D12" s="304">
        <f>D13+D14</f>
        <v>200000</v>
      </c>
    </row>
    <row r="13" spans="1:4" ht="12.75">
      <c r="A13" s="303" t="s">
        <v>358</v>
      </c>
      <c r="B13" s="304">
        <v>200000</v>
      </c>
      <c r="C13" s="305">
        <v>200000</v>
      </c>
      <c r="D13" s="305">
        <v>200000</v>
      </c>
    </row>
    <row r="14" spans="1:5" ht="12" customHeight="1">
      <c r="A14" s="303"/>
      <c r="B14" s="304"/>
      <c r="C14" s="305"/>
      <c r="D14" s="305"/>
      <c r="E14" s="306"/>
    </row>
    <row r="15" spans="1:4" ht="12.75">
      <c r="A15" s="303" t="s">
        <v>359</v>
      </c>
      <c r="B15" s="304">
        <f>B16+B18+B21</f>
        <v>85647154</v>
      </c>
      <c r="C15" s="304">
        <f>C16+C18+C21</f>
        <v>293097608</v>
      </c>
      <c r="D15" s="304">
        <f>D16+D18+D21</f>
        <v>314878399</v>
      </c>
    </row>
    <row r="16" spans="1:5" ht="12.75">
      <c r="A16" s="307" t="s">
        <v>360</v>
      </c>
      <c r="B16" s="304">
        <f>B17</f>
        <v>7500000</v>
      </c>
      <c r="C16" s="304">
        <f>C17</f>
        <v>0</v>
      </c>
      <c r="D16" s="304">
        <f>D17</f>
        <v>0</v>
      </c>
      <c r="E16" s="306"/>
    </row>
    <row r="17" spans="1:4" ht="12.75">
      <c r="A17" s="308" t="s">
        <v>361</v>
      </c>
      <c r="B17" s="304">
        <v>7500000</v>
      </c>
      <c r="C17" s="305"/>
      <c r="D17" s="305"/>
    </row>
    <row r="18" spans="1:4" ht="12.75">
      <c r="A18" s="303" t="s">
        <v>362</v>
      </c>
      <c r="B18" s="304">
        <f>B20</f>
        <v>4614000</v>
      </c>
      <c r="C18" s="304">
        <f>C20</f>
        <v>4614000</v>
      </c>
      <c r="D18" s="304">
        <f>D20</f>
        <v>4614000</v>
      </c>
    </row>
    <row r="19" spans="1:4" ht="12.75" hidden="1">
      <c r="A19" s="303" t="s">
        <v>363</v>
      </c>
      <c r="B19" s="304">
        <v>0</v>
      </c>
      <c r="C19" s="305"/>
      <c r="D19" s="305"/>
    </row>
    <row r="20" spans="1:4" ht="12.75">
      <c r="A20" s="303" t="s">
        <v>364</v>
      </c>
      <c r="B20" s="304">
        <v>4614000</v>
      </c>
      <c r="C20" s="304">
        <v>4614000</v>
      </c>
      <c r="D20" s="304">
        <v>4614000</v>
      </c>
    </row>
    <row r="21" spans="1:4" ht="12.75">
      <c r="A21" s="303" t="s">
        <v>365</v>
      </c>
      <c r="B21" s="304">
        <f>SUM(B22:B30)</f>
        <v>73533154</v>
      </c>
      <c r="C21" s="304">
        <f>SUM(C22:C30)</f>
        <v>288483608</v>
      </c>
      <c r="D21" s="304">
        <f>SUM(D22:D30)</f>
        <v>310264399</v>
      </c>
    </row>
    <row r="22" spans="1:4" ht="12.75">
      <c r="A22" s="303" t="s">
        <v>366</v>
      </c>
      <c r="B22" s="304"/>
      <c r="C22" s="304">
        <v>11400000</v>
      </c>
      <c r="D22" s="304">
        <v>20216667</v>
      </c>
    </row>
    <row r="23" spans="1:4" ht="12.75">
      <c r="A23" s="303" t="s">
        <v>367</v>
      </c>
      <c r="B23" s="304">
        <v>500000</v>
      </c>
      <c r="C23" s="304">
        <v>500000</v>
      </c>
      <c r="D23" s="304">
        <v>500000</v>
      </c>
    </row>
    <row r="24" spans="1:4" ht="12.75">
      <c r="A24" s="303" t="s">
        <v>368</v>
      </c>
      <c r="B24" s="304"/>
      <c r="C24" s="304">
        <v>5508137</v>
      </c>
      <c r="D24" s="304">
        <v>11464235</v>
      </c>
    </row>
    <row r="25" spans="1:4" ht="12.75">
      <c r="A25" s="303" t="s">
        <v>369</v>
      </c>
      <c r="B25" s="304"/>
      <c r="C25" s="305">
        <v>100606502</v>
      </c>
      <c r="D25" s="305">
        <v>101526443</v>
      </c>
    </row>
    <row r="26" spans="1:4" ht="12.75">
      <c r="A26" s="303" t="s">
        <v>370</v>
      </c>
      <c r="B26" s="304"/>
      <c r="C26" s="305">
        <v>100000000</v>
      </c>
      <c r="D26" s="305">
        <v>112000000</v>
      </c>
    </row>
    <row r="27" spans="1:4" ht="12.75">
      <c r="A27" s="303" t="s">
        <v>371</v>
      </c>
      <c r="B27" s="304">
        <v>624557</v>
      </c>
      <c r="C27" s="304">
        <v>624557</v>
      </c>
      <c r="D27" s="304">
        <v>624557</v>
      </c>
    </row>
    <row r="28" spans="1:4" ht="12.75">
      <c r="A28" s="303" t="s">
        <v>372</v>
      </c>
      <c r="B28" s="304">
        <v>689920</v>
      </c>
      <c r="C28" s="305">
        <v>21910000</v>
      </c>
      <c r="D28" s="305">
        <v>31600000</v>
      </c>
    </row>
    <row r="29" spans="1:4" ht="12.75">
      <c r="A29" s="303" t="s">
        <v>373</v>
      </c>
      <c r="B29" s="304">
        <v>12397586</v>
      </c>
      <c r="C29" s="305">
        <v>8197758</v>
      </c>
      <c r="D29" s="305"/>
    </row>
    <row r="30" spans="1:4" ht="12.75">
      <c r="A30" s="303" t="s">
        <v>374</v>
      </c>
      <c r="B30" s="304">
        <v>59321091</v>
      </c>
      <c r="C30" s="305">
        <v>39736654</v>
      </c>
      <c r="D30" s="305">
        <v>32332497</v>
      </c>
    </row>
    <row r="31" spans="1:4" ht="12.75">
      <c r="A31" s="303"/>
      <c r="B31" s="304"/>
      <c r="C31" s="305"/>
      <c r="D31" s="305"/>
    </row>
    <row r="32" spans="1:4" ht="19.5" customHeight="1">
      <c r="A32" s="309" t="s">
        <v>62</v>
      </c>
      <c r="B32" s="304">
        <f>B10</f>
        <v>85847154</v>
      </c>
      <c r="C32" s="305">
        <f>+C10</f>
        <v>293297608</v>
      </c>
      <c r="D32" s="305">
        <f>+D10</f>
        <v>315078399</v>
      </c>
    </row>
    <row r="33" spans="1:4" ht="13.5" thickBot="1">
      <c r="A33" s="310"/>
      <c r="B33" s="311"/>
      <c r="C33" s="312"/>
      <c r="D33" s="312"/>
    </row>
    <row r="35" spans="1:2" ht="12.75">
      <c r="A35" s="292" t="s">
        <v>375</v>
      </c>
      <c r="B35" s="313"/>
    </row>
    <row r="36" spans="1:4" ht="42" customHeight="1">
      <c r="A36" s="428" t="s">
        <v>376</v>
      </c>
      <c r="B36" s="428"/>
      <c r="C36" s="428"/>
      <c r="D36" s="428"/>
    </row>
  </sheetData>
  <mergeCells count="3">
    <mergeCell ref="A4:D4"/>
    <mergeCell ref="B7:D7"/>
    <mergeCell ref="A36:D36"/>
  </mergeCells>
  <printOptions horizontalCentered="1"/>
  <pageMargins left="1.1811023622047245" right="0.5905511811023623" top="1.7716535433070868" bottom="1.062992125984252" header="0.5118110236220472" footer="0.5118110236220472"/>
  <pageSetup fitToHeight="1" fitToWidth="1" horizontalDpi="300" verticalDpi="3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7"/>
  <sheetViews>
    <sheetView showGridLines="0" showZeros="0" zoomScale="75" zoomScaleNormal="75" workbookViewId="0" topLeftCell="A1">
      <selection activeCell="C4" sqref="C4"/>
    </sheetView>
  </sheetViews>
  <sheetFormatPr defaultColWidth="11.421875" defaultRowHeight="12.75"/>
  <cols>
    <col min="1" max="1" width="50.421875" style="55" customWidth="1"/>
    <col min="2" max="4" width="16.00390625" style="55" customWidth="1"/>
    <col min="5" max="16384" width="11.421875" style="55" customWidth="1"/>
  </cols>
  <sheetData>
    <row r="2" ht="12.75">
      <c r="D2" s="314" t="s">
        <v>377</v>
      </c>
    </row>
    <row r="3" spans="2:4" ht="12.75">
      <c r="B3" s="56"/>
      <c r="C3" s="56"/>
      <c r="D3" s="56"/>
    </row>
    <row r="4" spans="2:4" ht="12.75">
      <c r="B4" s="56"/>
      <c r="C4" s="56"/>
      <c r="D4" s="56"/>
    </row>
    <row r="5" spans="1:4" ht="12.75">
      <c r="A5" s="408" t="s">
        <v>1</v>
      </c>
      <c r="B5" s="408"/>
      <c r="C5" s="408"/>
      <c r="D5" s="408"/>
    </row>
    <row r="6" spans="1:4" ht="12.75">
      <c r="A6" s="409" t="s">
        <v>2</v>
      </c>
      <c r="B6" s="409"/>
      <c r="C6" s="409"/>
      <c r="D6" s="409"/>
    </row>
    <row r="7" spans="1:4" ht="12.75">
      <c r="A7" s="409" t="s">
        <v>343</v>
      </c>
      <c r="B7" s="409"/>
      <c r="C7" s="409"/>
      <c r="D7" s="409"/>
    </row>
    <row r="8" spans="1:4" ht="12.75">
      <c r="A8" s="58"/>
      <c r="B8" s="421"/>
      <c r="C8" s="421"/>
      <c r="D8" s="421"/>
    </row>
    <row r="9" spans="1:4" ht="35.25" customHeight="1">
      <c r="A9" s="61" t="s">
        <v>65</v>
      </c>
      <c r="B9" s="195">
        <v>2007</v>
      </c>
      <c r="C9" s="195">
        <v>2008</v>
      </c>
      <c r="D9" s="195">
        <v>2009</v>
      </c>
    </row>
    <row r="10" spans="1:4" ht="12.75">
      <c r="A10" s="61"/>
      <c r="B10" s="62"/>
      <c r="C10" s="315"/>
      <c r="D10" s="315"/>
    </row>
    <row r="11" spans="1:4" ht="22.5" customHeight="1">
      <c r="A11" s="63" t="s">
        <v>343</v>
      </c>
      <c r="B11" s="316">
        <f>+B15+B20</f>
        <v>386369199</v>
      </c>
      <c r="C11" s="317">
        <f>+C15+C20</f>
        <v>525197036</v>
      </c>
      <c r="D11" s="317">
        <f>+D15+D20</f>
        <v>485775536</v>
      </c>
    </row>
    <row r="12" spans="1:4" ht="12.75" hidden="1">
      <c r="A12" s="318" t="s">
        <v>378</v>
      </c>
      <c r="B12" s="319">
        <v>0</v>
      </c>
      <c r="C12" s="320"/>
      <c r="D12" s="320"/>
    </row>
    <row r="13" spans="1:4" ht="12.75" hidden="1">
      <c r="A13" s="245" t="s">
        <v>379</v>
      </c>
      <c r="B13" s="319">
        <v>0</v>
      </c>
      <c r="C13" s="320"/>
      <c r="D13" s="320"/>
    </row>
    <row r="14" spans="1:4" ht="12.75" hidden="1">
      <c r="A14" s="245" t="s">
        <v>380</v>
      </c>
      <c r="B14" s="319">
        <v>0</v>
      </c>
      <c r="C14" s="320"/>
      <c r="D14" s="320"/>
    </row>
    <row r="15" spans="1:4" ht="26.25" customHeight="1">
      <c r="A15" s="318" t="s">
        <v>381</v>
      </c>
      <c r="B15" s="316">
        <f>+B16+B17</f>
        <v>7700000</v>
      </c>
      <c r="C15" s="316">
        <f>+C16+C17</f>
        <v>163500000</v>
      </c>
      <c r="D15" s="316">
        <f>+D16+D17</f>
        <v>240100000</v>
      </c>
    </row>
    <row r="16" spans="1:4" ht="12.75">
      <c r="A16" s="245" t="s">
        <v>382</v>
      </c>
      <c r="B16" s="319">
        <v>7700000</v>
      </c>
      <c r="C16" s="320">
        <v>200000</v>
      </c>
      <c r="D16" s="320">
        <v>200000</v>
      </c>
    </row>
    <row r="17" spans="1:4" ht="12.75">
      <c r="A17" s="245" t="s">
        <v>383</v>
      </c>
      <c r="B17" s="319">
        <f>+B18+B19</f>
        <v>0</v>
      </c>
      <c r="C17" s="319">
        <v>163300000</v>
      </c>
      <c r="D17" s="319">
        <v>239900000</v>
      </c>
    </row>
    <row r="18" spans="1:4" ht="12.75" hidden="1">
      <c r="A18" s="245" t="s">
        <v>384</v>
      </c>
      <c r="B18" s="319"/>
      <c r="C18" s="319">
        <v>130000000</v>
      </c>
      <c r="D18" s="319">
        <v>60000000</v>
      </c>
    </row>
    <row r="19" spans="1:4" ht="12.75" hidden="1">
      <c r="A19" s="245" t="s">
        <v>385</v>
      </c>
      <c r="B19" s="319"/>
      <c r="C19" s="320">
        <v>3300000</v>
      </c>
      <c r="D19" s="320">
        <v>5900000</v>
      </c>
    </row>
    <row r="20" spans="1:4" ht="27" customHeight="1">
      <c r="A20" s="318" t="s">
        <v>386</v>
      </c>
      <c r="B20" s="316">
        <f>+B21+B24+B28+B29</f>
        <v>378669199</v>
      </c>
      <c r="C20" s="321">
        <f>+C21+C24+C28+C29</f>
        <v>361697036</v>
      </c>
      <c r="D20" s="321">
        <f>+D21+D24+D28+D29</f>
        <v>245675536</v>
      </c>
    </row>
    <row r="21" spans="1:4" ht="12.75">
      <c r="A21" s="245" t="s">
        <v>387</v>
      </c>
      <c r="B21" s="319">
        <v>4805915</v>
      </c>
      <c r="C21" s="320">
        <v>4515300</v>
      </c>
      <c r="D21" s="320">
        <v>4620500</v>
      </c>
    </row>
    <row r="22" spans="1:4" ht="12.75" hidden="1">
      <c r="A22" s="245" t="s">
        <v>388</v>
      </c>
      <c r="B22" s="319">
        <v>0</v>
      </c>
      <c r="C22" s="320"/>
      <c r="D22" s="320"/>
    </row>
    <row r="23" spans="1:4" ht="12.75" hidden="1">
      <c r="A23" s="245" t="s">
        <v>389</v>
      </c>
      <c r="B23" s="319">
        <v>0</v>
      </c>
      <c r="C23" s="320"/>
      <c r="D23" s="320"/>
    </row>
    <row r="24" spans="1:4" ht="12.75">
      <c r="A24" s="245" t="s">
        <v>390</v>
      </c>
      <c r="B24" s="319">
        <f>B26+B27</f>
        <v>1012000</v>
      </c>
      <c r="C24" s="319">
        <f>C26+C27</f>
        <v>1012000</v>
      </c>
      <c r="D24" s="319">
        <f>D26+D27</f>
        <v>1012000</v>
      </c>
    </row>
    <row r="25" spans="1:4" ht="12.75" hidden="1">
      <c r="A25" s="245" t="s">
        <v>391</v>
      </c>
      <c r="B25" s="319">
        <v>0</v>
      </c>
      <c r="C25" s="320"/>
      <c r="D25" s="320"/>
    </row>
    <row r="26" spans="1:4" ht="12.75">
      <c r="A26" s="245" t="s">
        <v>392</v>
      </c>
      <c r="B26" s="319">
        <f>412000</f>
        <v>412000</v>
      </c>
      <c r="C26" s="320">
        <v>412000</v>
      </c>
      <c r="D26" s="320">
        <v>412000</v>
      </c>
    </row>
    <row r="27" spans="1:4" ht="12.75">
      <c r="A27" s="245" t="s">
        <v>393</v>
      </c>
      <c r="B27" s="319">
        <v>600000</v>
      </c>
      <c r="C27" s="320">
        <v>600000</v>
      </c>
      <c r="D27" s="320">
        <v>600000</v>
      </c>
    </row>
    <row r="28" spans="1:4" ht="12.75">
      <c r="A28" s="245" t="s">
        <v>394</v>
      </c>
      <c r="B28" s="319">
        <v>2722000</v>
      </c>
      <c r="C28" s="320">
        <f>10572500-8000000</f>
        <v>2572500</v>
      </c>
      <c r="D28" s="320">
        <f>15468700-13000000</f>
        <v>2468700</v>
      </c>
    </row>
    <row r="29" spans="1:4" ht="12.75">
      <c r="A29" s="245" t="s">
        <v>395</v>
      </c>
      <c r="B29" s="319">
        <f>SUM(B30:B32)</f>
        <v>370129284</v>
      </c>
      <c r="C29" s="320">
        <f>SUM(C30:C32)</f>
        <v>353597236</v>
      </c>
      <c r="D29" s="320">
        <f>SUM(D30:D32)</f>
        <v>237574336</v>
      </c>
    </row>
    <row r="30" spans="1:4" ht="12.75">
      <c r="A30" s="245" t="s">
        <v>396</v>
      </c>
      <c r="B30" s="319">
        <v>185601833</v>
      </c>
      <c r="C30" s="320">
        <f>152435900+8000000</f>
        <v>160435900</v>
      </c>
      <c r="D30" s="320">
        <f>109421500+13000000</f>
        <v>122421500</v>
      </c>
    </row>
    <row r="31" spans="1:4" ht="12.75">
      <c r="A31" s="245" t="s">
        <v>397</v>
      </c>
      <c r="B31" s="319">
        <f>73826416+3183276</f>
        <v>77009692</v>
      </c>
      <c r="C31" s="320">
        <f>80074800+3586700</f>
        <v>83661500</v>
      </c>
      <c r="D31" s="320">
        <f>4041800</f>
        <v>4041800</v>
      </c>
    </row>
    <row r="32" spans="1:4" ht="12.75">
      <c r="A32" s="245" t="s">
        <v>398</v>
      </c>
      <c r="B32" s="319">
        <v>107517759</v>
      </c>
      <c r="C32" s="320">
        <v>109499836</v>
      </c>
      <c r="D32" s="320">
        <v>111111036</v>
      </c>
    </row>
    <row r="33" spans="1:4" ht="12.75">
      <c r="A33" s="245"/>
      <c r="B33" s="319">
        <v>0</v>
      </c>
      <c r="C33" s="320"/>
      <c r="D33" s="320"/>
    </row>
    <row r="34" spans="1:4" ht="12.75">
      <c r="A34" s="70" t="s">
        <v>62</v>
      </c>
      <c r="B34" s="316">
        <f>+B11</f>
        <v>386369199</v>
      </c>
      <c r="C34" s="317">
        <f>+C11</f>
        <v>525197036</v>
      </c>
      <c r="D34" s="317">
        <f>+D11</f>
        <v>485775536</v>
      </c>
    </row>
    <row r="35" spans="1:4" ht="12.75">
      <c r="A35" s="322"/>
      <c r="B35" s="323"/>
      <c r="C35" s="324"/>
      <c r="D35" s="324"/>
    </row>
    <row r="37" ht="12.75">
      <c r="A37" s="55" t="s">
        <v>399</v>
      </c>
    </row>
  </sheetData>
  <mergeCells count="4">
    <mergeCell ref="A5:D5"/>
    <mergeCell ref="A6:D6"/>
    <mergeCell ref="A7:D7"/>
    <mergeCell ref="B8:D8"/>
  </mergeCells>
  <printOptions horizontalCentered="1"/>
  <pageMargins left="1.1811023622047245" right="0.5905511811023623" top="1.7716535433070868" bottom="1.062992125984252" header="0.5118110236220472" footer="0.5118110236220472"/>
  <pageSetup fitToHeight="1" fitToWidth="1"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I22" sqref="I22"/>
    </sheetView>
  </sheetViews>
  <sheetFormatPr defaultColWidth="11.421875" defaultRowHeight="12.75"/>
  <sheetData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94" r:id="rId3"/>
  <legacyDrawing r:id="rId2"/>
  <oleObjects>
    <oleObject progId="Word.Document.8" shapeId="681636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zoomScale="50" zoomScaleNormal="50" workbookViewId="0" topLeftCell="A84">
      <selection activeCell="A97" sqref="A97"/>
    </sheetView>
  </sheetViews>
  <sheetFormatPr defaultColWidth="11.421875" defaultRowHeight="12.75"/>
  <cols>
    <col min="1" max="1" width="94.140625" style="325" customWidth="1"/>
    <col min="2" max="2" width="18.7109375" style="325" hidden="1" customWidth="1"/>
    <col min="3" max="5" width="20.7109375" style="325" customWidth="1"/>
    <col min="6" max="6" width="16.28125" style="325" hidden="1" customWidth="1"/>
    <col min="7" max="7" width="20.7109375" style="325" customWidth="1"/>
    <col min="8" max="16384" width="11.57421875" style="325" customWidth="1"/>
  </cols>
  <sheetData>
    <row r="1" ht="18" customHeight="1">
      <c r="E1" s="325" t="s">
        <v>400</v>
      </c>
    </row>
    <row r="2" spans="1:9" ht="21.75" customHeight="1">
      <c r="A2" s="429" t="s">
        <v>401</v>
      </c>
      <c r="B2" s="430"/>
      <c r="C2" s="430"/>
      <c r="D2" s="430"/>
      <c r="E2" s="326"/>
      <c r="F2" s="327"/>
      <c r="G2" s="328"/>
      <c r="H2" s="329"/>
      <c r="I2" s="329"/>
    </row>
    <row r="3" spans="1:9" ht="3" customHeight="1">
      <c r="A3" s="327"/>
      <c r="B3" s="327"/>
      <c r="C3" s="327"/>
      <c r="D3" s="327"/>
      <c r="E3" s="327"/>
      <c r="F3" s="327"/>
      <c r="G3" s="328"/>
      <c r="H3" s="329"/>
      <c r="I3" s="329"/>
    </row>
    <row r="4" spans="2:9" ht="21.75" customHeight="1">
      <c r="B4" s="330"/>
      <c r="C4" s="331" t="s">
        <v>402</v>
      </c>
      <c r="D4" s="330"/>
      <c r="E4" s="330"/>
      <c r="F4" s="331"/>
      <c r="G4" s="328"/>
      <c r="H4" s="329"/>
      <c r="I4" s="329"/>
    </row>
    <row r="5" spans="1:9" ht="3.75" customHeight="1">
      <c r="A5" s="331"/>
      <c r="B5" s="331"/>
      <c r="C5" s="331"/>
      <c r="D5" s="331"/>
      <c r="E5" s="331"/>
      <c r="F5" s="327"/>
      <c r="G5" s="328"/>
      <c r="H5" s="329"/>
      <c r="I5" s="329"/>
    </row>
    <row r="6" spans="1:9" ht="21.75" customHeight="1">
      <c r="A6" s="433" t="s">
        <v>403</v>
      </c>
      <c r="B6" s="433"/>
      <c r="C6" s="433"/>
      <c r="D6" s="433"/>
      <c r="E6" s="433"/>
      <c r="F6" s="332"/>
      <c r="G6" s="328"/>
      <c r="H6" s="329"/>
      <c r="I6" s="329"/>
    </row>
    <row r="7" spans="1:9" ht="3.75" customHeight="1" thickBot="1">
      <c r="A7" s="329"/>
      <c r="B7" s="329"/>
      <c r="C7" s="329"/>
      <c r="D7" s="329"/>
      <c r="F7" s="329"/>
      <c r="G7" s="328"/>
      <c r="H7" s="329"/>
      <c r="I7" s="329"/>
    </row>
    <row r="8" spans="1:9" ht="15" customHeight="1">
      <c r="A8" s="333"/>
      <c r="B8" s="333"/>
      <c r="C8" s="334"/>
      <c r="D8" s="335"/>
      <c r="E8" s="335"/>
      <c r="F8" s="334"/>
      <c r="G8" s="328"/>
      <c r="H8" s="329"/>
      <c r="I8" s="329"/>
    </row>
    <row r="9" spans="1:9" ht="15" customHeight="1">
      <c r="A9" s="336" t="s">
        <v>4</v>
      </c>
      <c r="B9" s="336" t="s">
        <v>404</v>
      </c>
      <c r="C9" s="336">
        <v>2007</v>
      </c>
      <c r="D9" s="337">
        <v>2008</v>
      </c>
      <c r="E9" s="337">
        <v>2009</v>
      </c>
      <c r="F9" s="336"/>
      <c r="G9" s="328"/>
      <c r="H9" s="329"/>
      <c r="I9" s="329"/>
    </row>
    <row r="10" spans="1:9" ht="15" customHeight="1" thickBot="1">
      <c r="A10" s="338"/>
      <c r="B10" s="339" t="s">
        <v>405</v>
      </c>
      <c r="C10" s="340"/>
      <c r="D10" s="341"/>
      <c r="E10" s="341"/>
      <c r="F10" s="342"/>
      <c r="G10" s="328"/>
      <c r="H10" s="329"/>
      <c r="I10" s="329"/>
    </row>
    <row r="11" spans="1:9" s="347" customFormat="1" ht="24.75" customHeight="1" thickBot="1">
      <c r="A11" s="343" t="s">
        <v>406</v>
      </c>
      <c r="B11" s="344">
        <f>SUM(B16:B86)</f>
        <v>663011.86</v>
      </c>
      <c r="C11" s="344">
        <f>SUM(C13:C76)</f>
        <v>192711.5546281195</v>
      </c>
      <c r="D11" s="344">
        <f>SUM(D13:D75)</f>
        <v>200069.02326145463</v>
      </c>
      <c r="E11" s="344">
        <f>SUM(E13:E75)</f>
        <v>199188.17508635667</v>
      </c>
      <c r="F11" s="344"/>
      <c r="G11" s="345"/>
      <c r="H11" s="346"/>
      <c r="I11" s="346"/>
    </row>
    <row r="12" spans="1:7" ht="6.75" customHeight="1">
      <c r="A12" s="348"/>
      <c r="B12" s="348"/>
      <c r="C12" s="348"/>
      <c r="D12" s="348"/>
      <c r="E12" s="348"/>
      <c r="F12" s="348"/>
      <c r="G12" s="349"/>
    </row>
    <row r="13" spans="1:11" ht="17.25" customHeight="1">
      <c r="A13" s="350" t="s">
        <v>407</v>
      </c>
      <c r="B13" s="351"/>
      <c r="C13" s="352"/>
      <c r="D13" s="353"/>
      <c r="E13" s="353"/>
      <c r="F13" s="354"/>
      <c r="G13" s="355"/>
      <c r="H13" s="356"/>
      <c r="I13" s="356"/>
      <c r="J13" s="356"/>
      <c r="K13" s="356"/>
    </row>
    <row r="14" spans="1:11" ht="10.5" customHeight="1" hidden="1">
      <c r="A14" s="350"/>
      <c r="B14" s="351"/>
      <c r="C14" s="352"/>
      <c r="D14" s="353"/>
      <c r="E14" s="353"/>
      <c r="F14" s="357"/>
      <c r="G14" s="355"/>
      <c r="H14" s="356"/>
      <c r="I14" s="356"/>
      <c r="J14" s="356"/>
      <c r="K14" s="356"/>
    </row>
    <row r="15" spans="1:11" ht="18" customHeight="1">
      <c r="A15" s="358" t="s">
        <v>408</v>
      </c>
      <c r="B15" s="351"/>
      <c r="C15" s="352"/>
      <c r="D15" s="352"/>
      <c r="E15" s="353"/>
      <c r="F15" s="357"/>
      <c r="G15" s="355"/>
      <c r="H15" s="356"/>
      <c r="I15" s="356"/>
      <c r="J15" s="356"/>
      <c r="K15" s="356"/>
    </row>
    <row r="16" spans="1:11" ht="18">
      <c r="A16" s="358" t="s">
        <v>409</v>
      </c>
      <c r="B16" s="359">
        <v>19312.4</v>
      </c>
      <c r="C16" s="360">
        <f>320.8+4800</f>
        <v>5120.8</v>
      </c>
      <c r="D16" s="360">
        <f>+(799.5*2)*D132</f>
        <v>5052.84</v>
      </c>
      <c r="E16" s="361">
        <f>+(799.5*2*E132)</f>
        <v>5084.820000000001</v>
      </c>
      <c r="F16" s="362"/>
      <c r="G16" s="355"/>
      <c r="H16" s="356"/>
      <c r="I16" s="356"/>
      <c r="J16" s="356"/>
      <c r="K16" s="356"/>
    </row>
    <row r="17" spans="1:11" ht="18">
      <c r="A17" s="358" t="s">
        <v>410</v>
      </c>
      <c r="B17" s="359"/>
      <c r="C17" s="360">
        <f>800+291.4</f>
        <v>1091.4</v>
      </c>
      <c r="D17" s="361">
        <v>3718.1</v>
      </c>
      <c r="E17" s="361">
        <v>5362.9</v>
      </c>
      <c r="F17" s="362"/>
      <c r="G17" s="355"/>
      <c r="H17" s="356"/>
      <c r="I17" s="356"/>
      <c r="J17" s="356"/>
      <c r="K17" s="356"/>
    </row>
    <row r="18" spans="1:11" ht="18" customHeight="1">
      <c r="A18" s="358" t="s">
        <v>411</v>
      </c>
      <c r="B18" s="359"/>
      <c r="C18" s="360"/>
      <c r="D18" s="360"/>
      <c r="E18" s="361"/>
      <c r="F18" s="362"/>
      <c r="G18" s="355"/>
      <c r="H18" s="356"/>
      <c r="I18" s="356"/>
      <c r="J18" s="356"/>
      <c r="K18" s="356"/>
    </row>
    <row r="19" spans="1:11" ht="18">
      <c r="A19" s="358" t="s">
        <v>409</v>
      </c>
      <c r="B19" s="359">
        <f>3578.5+43672.6</f>
        <v>47251.1</v>
      </c>
      <c r="C19" s="360">
        <v>15575.563499999998</v>
      </c>
      <c r="D19" s="360">
        <f>+(2420.5+2512.3)*D132</f>
        <v>15587.648000000001</v>
      </c>
      <c r="E19" s="361">
        <f>+(2608.2+2705.4)*E132</f>
        <v>16897.248000000003</v>
      </c>
      <c r="F19" s="362"/>
      <c r="G19" s="355"/>
      <c r="H19" s="356"/>
      <c r="I19" s="356"/>
      <c r="J19" s="356"/>
      <c r="K19" s="356"/>
    </row>
    <row r="20" spans="1:11" ht="18">
      <c r="A20" s="358" t="s">
        <v>410</v>
      </c>
      <c r="B20" s="359"/>
      <c r="C20" s="360">
        <v>2171.8524899999998</v>
      </c>
      <c r="D20" s="361">
        <f>+(259.8+198.4)*E132</f>
        <v>1457.0760000000002</v>
      </c>
      <c r="E20" s="361">
        <f>+(134.7+68.6)*E132</f>
        <v>646.494</v>
      </c>
      <c r="F20" s="362"/>
      <c r="G20" s="355"/>
      <c r="H20" s="356"/>
      <c r="I20" s="356"/>
      <c r="J20" s="356"/>
      <c r="K20" s="356"/>
    </row>
    <row r="21" spans="1:11" ht="0" customHeight="1" hidden="1">
      <c r="A21" s="358"/>
      <c r="B21" s="359"/>
      <c r="C21" s="360"/>
      <c r="D21" s="361"/>
      <c r="E21" s="361"/>
      <c r="F21" s="362"/>
      <c r="G21" s="355"/>
      <c r="H21" s="356"/>
      <c r="I21" s="356"/>
      <c r="J21" s="356"/>
      <c r="K21" s="356"/>
    </row>
    <row r="22" spans="1:11" ht="18" customHeight="1">
      <c r="A22" s="358" t="s">
        <v>412</v>
      </c>
      <c r="B22" s="359"/>
      <c r="C22" s="360"/>
      <c r="D22" s="360"/>
      <c r="E22" s="361"/>
      <c r="F22" s="362"/>
      <c r="G22" s="355"/>
      <c r="H22" s="356"/>
      <c r="I22" s="356"/>
      <c r="J22" s="356"/>
      <c r="K22" s="356"/>
    </row>
    <row r="23" spans="1:11" ht="18">
      <c r="A23" s="358" t="s">
        <v>409</v>
      </c>
      <c r="B23" s="359">
        <v>16490.5</v>
      </c>
      <c r="C23" s="360">
        <v>4934.5974</v>
      </c>
      <c r="D23" s="360">
        <f>814.3*2*D132</f>
        <v>5146.376</v>
      </c>
      <c r="E23" s="361">
        <f>814.3*2*E132</f>
        <v>5178.948</v>
      </c>
      <c r="F23" s="362"/>
      <c r="G23" s="355"/>
      <c r="H23" s="356"/>
      <c r="I23" s="356"/>
      <c r="J23" s="356"/>
      <c r="K23" s="356"/>
    </row>
    <row r="24" spans="1:11" ht="18">
      <c r="A24" s="358" t="s">
        <v>410</v>
      </c>
      <c r="B24" s="359"/>
      <c r="C24" s="360">
        <v>811.4643</v>
      </c>
      <c r="D24" s="361">
        <f>+(97.4+73)*D132</f>
        <v>538.464</v>
      </c>
      <c r="E24" s="361">
        <f>+(48.6+24.3)*E132</f>
        <v>231.82200000000003</v>
      </c>
      <c r="F24" s="362"/>
      <c r="G24" s="355"/>
      <c r="H24" s="356"/>
      <c r="I24" s="356"/>
      <c r="J24" s="356"/>
      <c r="K24" s="356"/>
    </row>
    <row r="25" spans="1:11" ht="0.75" customHeight="1">
      <c r="A25" s="358"/>
      <c r="B25" s="359"/>
      <c r="C25" s="360"/>
      <c r="D25" s="361"/>
      <c r="E25" s="361"/>
      <c r="F25" s="362"/>
      <c r="G25" s="356"/>
      <c r="H25" s="356"/>
      <c r="I25" s="356"/>
      <c r="J25" s="356"/>
      <c r="K25" s="356"/>
    </row>
    <row r="26" spans="1:11" ht="18" customHeight="1">
      <c r="A26" s="358" t="s">
        <v>413</v>
      </c>
      <c r="B26" s="359"/>
      <c r="C26" s="360"/>
      <c r="D26" s="360"/>
      <c r="E26" s="361"/>
      <c r="F26" s="362"/>
      <c r="G26" s="356"/>
      <c r="H26" s="356"/>
      <c r="I26" s="356"/>
      <c r="J26" s="356"/>
      <c r="K26" s="356"/>
    </row>
    <row r="27" spans="1:11" ht="18">
      <c r="A27" s="358" t="s">
        <v>409</v>
      </c>
      <c r="B27" s="359">
        <f>33800.3+685.5+57.2+2.8+90+0.86</f>
        <v>34636.66</v>
      </c>
      <c r="C27" s="360">
        <v>24759.21474</v>
      </c>
      <c r="D27" s="360">
        <f>4085.7*2*D132+2633.3</f>
        <v>28454.924</v>
      </c>
      <c r="E27" s="361">
        <f>4085.7*2*D132+2504.3</f>
        <v>28325.924</v>
      </c>
      <c r="F27" s="363"/>
      <c r="G27" s="356"/>
      <c r="H27" s="356"/>
      <c r="I27" s="356"/>
      <c r="J27" s="356"/>
      <c r="K27" s="356"/>
    </row>
    <row r="28" spans="1:11" ht="17.25" customHeight="1">
      <c r="A28" s="358" t="s">
        <v>410</v>
      </c>
      <c r="B28" s="359"/>
      <c r="C28" s="360">
        <v>5548.8269</v>
      </c>
      <c r="D28" s="361">
        <f>+(762.4+660.3)*D132+2070</f>
        <v>6565.732</v>
      </c>
      <c r="E28" s="361">
        <f>+(558.1+455.9)*E132+4351</f>
        <v>7575.52</v>
      </c>
      <c r="F28" s="363"/>
      <c r="G28" s="356"/>
      <c r="H28" s="356"/>
      <c r="I28" s="356"/>
      <c r="J28" s="356"/>
      <c r="K28" s="356"/>
    </row>
    <row r="29" spans="1:11" ht="10.5" customHeight="1" hidden="1">
      <c r="A29" s="358"/>
      <c r="B29" s="359"/>
      <c r="C29" s="360"/>
      <c r="D29" s="361"/>
      <c r="E29" s="361"/>
      <c r="F29" s="363"/>
      <c r="G29" s="356"/>
      <c r="H29" s="356"/>
      <c r="I29" s="356"/>
      <c r="J29" s="356"/>
      <c r="K29" s="356"/>
    </row>
    <row r="30" spans="1:11" ht="18" customHeight="1">
      <c r="A30" s="358" t="s">
        <v>414</v>
      </c>
      <c r="B30" s="359"/>
      <c r="C30" s="360"/>
      <c r="D30" s="360"/>
      <c r="E30" s="361"/>
      <c r="F30" s="363"/>
      <c r="G30" s="356"/>
      <c r="H30" s="356"/>
      <c r="I30" s="356"/>
      <c r="J30" s="356"/>
      <c r="K30" s="356"/>
    </row>
    <row r="31" spans="1:11" ht="18">
      <c r="A31" s="358" t="s">
        <v>409</v>
      </c>
      <c r="B31" s="359">
        <v>467.2</v>
      </c>
      <c r="C31" s="360">
        <v>141.5616</v>
      </c>
      <c r="D31" s="360">
        <f>+(23.4*2*D132)</f>
        <v>147.888</v>
      </c>
      <c r="E31" s="361">
        <f>23.4*2*E132</f>
        <v>148.824</v>
      </c>
      <c r="F31" s="363"/>
      <c r="G31" s="356"/>
      <c r="H31" s="356"/>
      <c r="I31" s="356"/>
      <c r="J31" s="356"/>
      <c r="K31" s="356"/>
    </row>
    <row r="32" spans="1:11" ht="17.25" customHeight="1">
      <c r="A32" s="358" t="s">
        <v>410</v>
      </c>
      <c r="B32" s="364"/>
      <c r="C32" s="361">
        <v>37.1478</v>
      </c>
      <c r="D32" s="361">
        <f>+(5.2+4.7)*D132</f>
        <v>31.284000000000002</v>
      </c>
      <c r="E32" s="361">
        <f>+(4.1+3.5)*E132</f>
        <v>24.168</v>
      </c>
      <c r="F32" s="365"/>
      <c r="G32" s="356"/>
      <c r="H32" s="356"/>
      <c r="I32" s="356"/>
      <c r="J32" s="356"/>
      <c r="K32" s="356"/>
    </row>
    <row r="33" spans="1:11" ht="10.5" customHeight="1" hidden="1">
      <c r="A33" s="366"/>
      <c r="B33" s="367"/>
      <c r="C33" s="360"/>
      <c r="D33" s="361"/>
      <c r="E33" s="361"/>
      <c r="F33" s="362"/>
      <c r="G33" s="356"/>
      <c r="H33" s="356"/>
      <c r="I33" s="356"/>
      <c r="J33" s="356"/>
      <c r="K33" s="356"/>
    </row>
    <row r="34" spans="1:11" ht="18" customHeight="1">
      <c r="A34" s="366" t="s">
        <v>415</v>
      </c>
      <c r="B34" s="367"/>
      <c r="C34" s="360"/>
      <c r="D34" s="361"/>
      <c r="E34" s="361"/>
      <c r="F34" s="362"/>
      <c r="G34" s="356"/>
      <c r="H34" s="356"/>
      <c r="I34" s="356"/>
      <c r="J34" s="356"/>
      <c r="K34" s="356"/>
    </row>
    <row r="35" spans="1:11" ht="18">
      <c r="A35" s="358" t="s">
        <v>409</v>
      </c>
      <c r="B35" s="359">
        <f>153300+126700</f>
        <v>280000</v>
      </c>
      <c r="C35" s="360">
        <f>23224.95*2</f>
        <v>46449.9</v>
      </c>
      <c r="D35" s="361">
        <f>24221.4*2</f>
        <v>48442.8</v>
      </c>
      <c r="E35" s="361">
        <f>24374.7*2</f>
        <v>48749.4</v>
      </c>
      <c r="F35" s="362"/>
      <c r="G35" s="356"/>
      <c r="H35" s="356"/>
      <c r="I35" s="356"/>
      <c r="J35" s="356"/>
      <c r="K35" s="356"/>
    </row>
    <row r="36" spans="1:11" ht="18">
      <c r="A36" s="358" t="s">
        <v>410</v>
      </c>
      <c r="B36" s="367"/>
      <c r="C36" s="360">
        <f>10288.65+9774.22</f>
        <v>20062.87</v>
      </c>
      <c r="D36" s="361">
        <f>11771.6+11117.6</f>
        <v>22889.2</v>
      </c>
      <c r="E36" s="361">
        <f>10529.8+9871.7</f>
        <v>20401.5</v>
      </c>
      <c r="F36" s="362"/>
      <c r="G36" s="356"/>
      <c r="H36" s="356"/>
      <c r="I36" s="356"/>
      <c r="J36" s="356"/>
      <c r="K36" s="356"/>
    </row>
    <row r="37" spans="1:11" ht="9.75" customHeight="1" hidden="1">
      <c r="A37" s="366"/>
      <c r="B37" s="367"/>
      <c r="C37" s="360"/>
      <c r="D37" s="361"/>
      <c r="E37" s="361"/>
      <c r="F37" s="362"/>
      <c r="G37" s="356"/>
      <c r="H37" s="356"/>
      <c r="I37" s="356"/>
      <c r="J37" s="356"/>
      <c r="K37" s="356"/>
    </row>
    <row r="38" spans="1:11" ht="18" customHeight="1">
      <c r="A38" s="366" t="s">
        <v>416</v>
      </c>
      <c r="B38" s="367"/>
      <c r="C38" s="360"/>
      <c r="D38" s="361"/>
      <c r="E38" s="361"/>
      <c r="F38" s="362"/>
      <c r="G38" s="356"/>
      <c r="H38" s="356"/>
      <c r="I38" s="356"/>
      <c r="J38" s="356"/>
      <c r="K38" s="356"/>
    </row>
    <row r="39" spans="1:11" ht="18" customHeight="1">
      <c r="A39" s="358" t="s">
        <v>410</v>
      </c>
      <c r="B39" s="367"/>
      <c r="C39" s="360">
        <v>31</v>
      </c>
      <c r="D39" s="361">
        <v>1491.5</v>
      </c>
      <c r="E39" s="361">
        <v>2401.7</v>
      </c>
      <c r="F39" s="362"/>
      <c r="G39" s="356"/>
      <c r="H39" s="356"/>
      <c r="I39" s="356"/>
      <c r="J39" s="356"/>
      <c r="K39" s="356"/>
    </row>
    <row r="40" spans="1:5" ht="0" customHeight="1" hidden="1">
      <c r="A40" s="358"/>
      <c r="B40" s="359"/>
      <c r="C40" s="360"/>
      <c r="D40" s="360"/>
      <c r="E40" s="361"/>
    </row>
    <row r="41" spans="1:11" ht="18">
      <c r="A41" s="350" t="s">
        <v>417</v>
      </c>
      <c r="B41" s="351"/>
      <c r="C41" s="360"/>
      <c r="D41" s="361"/>
      <c r="E41" s="361"/>
      <c r="F41" s="362"/>
      <c r="G41" s="356"/>
      <c r="H41" s="356"/>
      <c r="I41" s="356"/>
      <c r="J41" s="356"/>
      <c r="K41" s="356"/>
    </row>
    <row r="42" spans="1:11" ht="18">
      <c r="A42" s="358" t="s">
        <v>418</v>
      </c>
      <c r="B42" s="368"/>
      <c r="C42" s="360"/>
      <c r="D42" s="361"/>
      <c r="E42" s="361"/>
      <c r="F42" s="362"/>
      <c r="G42" s="356"/>
      <c r="H42" s="356"/>
      <c r="I42" s="356"/>
      <c r="J42" s="356"/>
      <c r="K42" s="356"/>
    </row>
    <row r="43" spans="1:11" ht="18">
      <c r="A43" s="358" t="s">
        <v>419</v>
      </c>
      <c r="B43" s="368"/>
      <c r="C43" s="360"/>
      <c r="D43" s="360"/>
      <c r="E43" s="361"/>
      <c r="F43" s="362"/>
      <c r="G43" s="356"/>
      <c r="H43" s="356"/>
      <c r="I43" s="356"/>
      <c r="J43" s="356"/>
      <c r="K43" s="356"/>
    </row>
    <row r="44" spans="1:11" ht="18">
      <c r="A44" s="358" t="s">
        <v>409</v>
      </c>
      <c r="B44" s="359">
        <v>54552.1</v>
      </c>
      <c r="C44" s="360">
        <v>16882.9</v>
      </c>
      <c r="D44" s="360">
        <f>2037.6*2*D132</f>
        <v>12877.632</v>
      </c>
      <c r="E44" s="361">
        <f>2037.6*2*E132</f>
        <v>12959.136</v>
      </c>
      <c r="F44" s="362"/>
      <c r="G44" s="356"/>
      <c r="H44" s="356"/>
      <c r="I44" s="356"/>
      <c r="J44" s="356"/>
      <c r="K44" s="356"/>
    </row>
    <row r="45" spans="1:11" ht="18">
      <c r="A45" s="358" t="s">
        <v>410</v>
      </c>
      <c r="B45" s="359"/>
      <c r="C45" s="360">
        <v>2582.7</v>
      </c>
      <c r="D45" s="361">
        <f>+(325.8+274.9)*D132</f>
        <v>1898.2120000000002</v>
      </c>
      <c r="E45" s="361">
        <f>+(223.9+173)*E132</f>
        <v>1262.142</v>
      </c>
      <c r="F45" s="362"/>
      <c r="G45" s="356"/>
      <c r="H45" s="356"/>
      <c r="I45" s="356"/>
      <c r="J45" s="356"/>
      <c r="K45" s="356"/>
    </row>
    <row r="46" spans="1:11" ht="0" customHeight="1" hidden="1">
      <c r="A46" s="358"/>
      <c r="B46" s="359"/>
      <c r="C46" s="360"/>
      <c r="D46" s="361"/>
      <c r="E46" s="361"/>
      <c r="F46" s="362"/>
      <c r="G46" s="356"/>
      <c r="H46" s="356"/>
      <c r="I46" s="356"/>
      <c r="J46" s="356"/>
      <c r="K46" s="356"/>
    </row>
    <row r="47" spans="1:11" ht="18" customHeight="1">
      <c r="A47" s="358" t="s">
        <v>420</v>
      </c>
      <c r="B47" s="359"/>
      <c r="C47" s="360"/>
      <c r="D47" s="360"/>
      <c r="E47" s="361"/>
      <c r="F47" s="362"/>
      <c r="G47" s="356"/>
      <c r="H47" s="356"/>
      <c r="I47" s="356"/>
      <c r="J47" s="356"/>
      <c r="K47" s="356"/>
    </row>
    <row r="48" spans="1:11" ht="18">
      <c r="A48" s="358" t="s">
        <v>409</v>
      </c>
      <c r="B48" s="359">
        <v>23266.1</v>
      </c>
      <c r="C48" s="360">
        <v>7068.384</v>
      </c>
      <c r="D48" s="360">
        <f>1166.4*2*D132</f>
        <v>7371.648000000001</v>
      </c>
      <c r="E48" s="361">
        <f>1166.4*2*E132</f>
        <v>7418.304000000001</v>
      </c>
      <c r="F48" s="362"/>
      <c r="G48" s="356"/>
      <c r="H48" s="356"/>
      <c r="I48" s="356"/>
      <c r="J48" s="356"/>
      <c r="K48" s="356"/>
    </row>
    <row r="49" spans="1:11" ht="17.25" customHeight="1">
      <c r="A49" s="358" t="s">
        <v>410</v>
      </c>
      <c r="B49" s="359"/>
      <c r="C49" s="360">
        <v>983.1744</v>
      </c>
      <c r="D49" s="361">
        <f>+(118.5+89.3)*D132</f>
        <v>656.648</v>
      </c>
      <c r="E49" s="361">
        <f>+(60.2+31)*E132</f>
        <v>290.016</v>
      </c>
      <c r="F49" s="362"/>
      <c r="G49" s="356"/>
      <c r="H49" s="356"/>
      <c r="I49" s="356"/>
      <c r="J49" s="356"/>
      <c r="K49" s="356"/>
    </row>
    <row r="50" spans="1:11" ht="10.5" customHeight="1" hidden="1">
      <c r="A50" s="366"/>
      <c r="B50" s="367"/>
      <c r="C50" s="360"/>
      <c r="D50" s="361"/>
      <c r="E50" s="361"/>
      <c r="F50" s="362"/>
      <c r="G50" s="356"/>
      <c r="H50" s="356"/>
      <c r="I50" s="356"/>
      <c r="J50" s="356"/>
      <c r="K50" s="356"/>
    </row>
    <row r="51" spans="1:11" ht="18">
      <c r="A51" s="350" t="s">
        <v>421</v>
      </c>
      <c r="B51" s="351"/>
      <c r="C51" s="360"/>
      <c r="D51" s="361"/>
      <c r="E51" s="361"/>
      <c r="F51" s="362"/>
      <c r="G51" s="356"/>
      <c r="H51" s="356"/>
      <c r="I51" s="356"/>
      <c r="J51" s="356"/>
      <c r="K51" s="356"/>
    </row>
    <row r="52" spans="1:11" ht="18">
      <c r="A52" s="358" t="s">
        <v>422</v>
      </c>
      <c r="B52" s="351"/>
      <c r="C52" s="360"/>
      <c r="D52" s="360"/>
      <c r="E52" s="361"/>
      <c r="F52" s="362"/>
      <c r="G52" s="356"/>
      <c r="H52" s="356"/>
      <c r="I52" s="356"/>
      <c r="J52" s="356"/>
      <c r="K52" s="356"/>
    </row>
    <row r="53" spans="1:11" ht="18">
      <c r="A53" s="358" t="s">
        <v>409</v>
      </c>
      <c r="B53" s="359">
        <v>17376</v>
      </c>
      <c r="C53" s="360">
        <v>5881.59</v>
      </c>
      <c r="D53" s="360">
        <f>+(970.5*2*D132)</f>
        <v>6133.56</v>
      </c>
      <c r="E53" s="361">
        <f>973.1*2*E132</f>
        <v>6188.916</v>
      </c>
      <c r="F53" s="362"/>
      <c r="G53" s="356"/>
      <c r="H53" s="356"/>
      <c r="I53" s="356"/>
      <c r="J53" s="356"/>
      <c r="K53" s="356"/>
    </row>
    <row r="54" spans="1:11" ht="18">
      <c r="A54" s="358" t="s">
        <v>410</v>
      </c>
      <c r="B54" s="359"/>
      <c r="C54" s="360">
        <v>2174.4795</v>
      </c>
      <c r="D54" s="361">
        <f>+(324.2+301.2)*D132</f>
        <v>1976.2640000000001</v>
      </c>
      <c r="E54" s="361">
        <f>+(278.1+255)*E132</f>
        <v>1695.2580000000003</v>
      </c>
      <c r="F54" s="362"/>
      <c r="G54" s="356"/>
      <c r="H54" s="356"/>
      <c r="I54" s="356"/>
      <c r="J54" s="356"/>
      <c r="K54" s="356"/>
    </row>
    <row r="55" spans="1:11" ht="0" customHeight="1" hidden="1">
      <c r="A55" s="358"/>
      <c r="B55" s="359"/>
      <c r="C55" s="360"/>
      <c r="D55" s="361"/>
      <c r="E55" s="361"/>
      <c r="F55" s="362"/>
      <c r="G55" s="356"/>
      <c r="H55" s="356"/>
      <c r="I55" s="356"/>
      <c r="J55" s="356"/>
      <c r="K55" s="356"/>
    </row>
    <row r="56" spans="1:11" ht="18" customHeight="1">
      <c r="A56" s="358" t="s">
        <v>423</v>
      </c>
      <c r="B56" s="359"/>
      <c r="C56" s="360"/>
      <c r="D56" s="360"/>
      <c r="E56" s="361"/>
      <c r="F56" s="362"/>
      <c r="G56" s="356"/>
      <c r="H56" s="356"/>
      <c r="I56" s="356"/>
      <c r="J56" s="356"/>
      <c r="K56" s="356"/>
    </row>
    <row r="57" spans="1:11" ht="18">
      <c r="A57" s="358" t="s">
        <v>409</v>
      </c>
      <c r="B57" s="359">
        <v>14164.2</v>
      </c>
      <c r="C57" s="360">
        <f>2925.9+5861.7</f>
        <v>8787.6</v>
      </c>
      <c r="D57" s="360">
        <f>1480.7*2*D132</f>
        <v>9358.024000000001</v>
      </c>
      <c r="E57" s="361">
        <f>1480.7*2*E132</f>
        <v>9417.252</v>
      </c>
      <c r="F57" s="362"/>
      <c r="G57" s="356"/>
      <c r="H57" s="356"/>
      <c r="I57" s="356"/>
      <c r="J57" s="356"/>
      <c r="K57" s="356"/>
    </row>
    <row r="58" spans="1:11" ht="18">
      <c r="A58" s="358" t="s">
        <v>410</v>
      </c>
      <c r="B58" s="359"/>
      <c r="C58" s="360">
        <v>2800</v>
      </c>
      <c r="D58" s="361">
        <f>+(275.9+229.9)*D132</f>
        <v>1598.328</v>
      </c>
      <c r="E58" s="361">
        <f>+(183.9+137.9)*E132</f>
        <v>1023.3240000000001</v>
      </c>
      <c r="F58" s="362"/>
      <c r="G58" s="356"/>
      <c r="H58" s="356"/>
      <c r="I58" s="356"/>
      <c r="J58" s="356"/>
      <c r="K58" s="356"/>
    </row>
    <row r="59" spans="1:11" ht="0" customHeight="1" hidden="1">
      <c r="A59" s="358"/>
      <c r="B59" s="359"/>
      <c r="C59" s="360"/>
      <c r="D59" s="361"/>
      <c r="E59" s="361"/>
      <c r="F59" s="362"/>
      <c r="G59" s="356"/>
      <c r="H59" s="356"/>
      <c r="I59" s="356"/>
      <c r="J59" s="356"/>
      <c r="K59" s="356"/>
    </row>
    <row r="60" spans="1:11" ht="18" customHeight="1">
      <c r="A60" s="358" t="s">
        <v>424</v>
      </c>
      <c r="B60" s="359"/>
      <c r="C60" s="360"/>
      <c r="D60" s="361"/>
      <c r="E60" s="361"/>
      <c r="F60" s="362"/>
      <c r="G60" s="356"/>
      <c r="H60" s="356"/>
      <c r="I60" s="356"/>
      <c r="J60" s="356"/>
      <c r="K60" s="356"/>
    </row>
    <row r="61" spans="1:11" ht="18">
      <c r="A61" s="358" t="s">
        <v>409</v>
      </c>
      <c r="B61" s="359">
        <v>3223.2</v>
      </c>
      <c r="C61" s="360">
        <v>550</v>
      </c>
      <c r="D61" s="361">
        <f>125*2*D132</f>
        <v>790</v>
      </c>
      <c r="E61" s="361">
        <f>125*2*E132</f>
        <v>795</v>
      </c>
      <c r="F61" s="369"/>
      <c r="G61" s="356"/>
      <c r="H61" s="356"/>
      <c r="I61" s="356"/>
      <c r="J61" s="356"/>
      <c r="K61" s="356"/>
    </row>
    <row r="62" spans="1:11" ht="18">
      <c r="A62" s="358" t="s">
        <v>410</v>
      </c>
      <c r="B62" s="359"/>
      <c r="C62" s="360">
        <v>550</v>
      </c>
      <c r="D62" s="361">
        <f>+(89.7+86.6)*D132</f>
        <v>557.1080000000001</v>
      </c>
      <c r="E62" s="361">
        <f>+(83.5+80.4)*E132</f>
        <v>521.202</v>
      </c>
      <c r="F62" s="362"/>
      <c r="G62" s="356"/>
      <c r="H62" s="356"/>
      <c r="I62" s="356"/>
      <c r="J62" s="356"/>
      <c r="K62" s="356"/>
    </row>
    <row r="63" spans="1:11" ht="0" customHeight="1" hidden="1">
      <c r="A63" s="358"/>
      <c r="B63" s="359"/>
      <c r="C63" s="360"/>
      <c r="D63" s="361"/>
      <c r="E63" s="361"/>
      <c r="F63" s="362"/>
      <c r="G63" s="356"/>
      <c r="H63" s="356"/>
      <c r="I63" s="356"/>
      <c r="J63" s="356"/>
      <c r="K63" s="356"/>
    </row>
    <row r="64" spans="1:11" ht="18" customHeight="1">
      <c r="A64" s="358" t="s">
        <v>425</v>
      </c>
      <c r="B64" s="359"/>
      <c r="C64" s="360"/>
      <c r="D64" s="360"/>
      <c r="E64" s="361"/>
      <c r="F64" s="362"/>
      <c r="G64" s="356"/>
      <c r="H64" s="356"/>
      <c r="I64" s="356"/>
      <c r="J64" s="356"/>
      <c r="K64" s="356"/>
    </row>
    <row r="65" spans="1:11" ht="18">
      <c r="A65" s="358" t="s">
        <v>409</v>
      </c>
      <c r="B65" s="359">
        <f>32196000/1000</f>
        <v>32196</v>
      </c>
      <c r="C65" s="360">
        <v>1176.7913999999998</v>
      </c>
      <c r="D65" s="360">
        <f>(150.5+102.8)*D132</f>
        <v>800.4280000000001</v>
      </c>
      <c r="E65" s="361">
        <f>+(46.9+116.7)*E132</f>
        <v>520.248</v>
      </c>
      <c r="F65" s="362"/>
      <c r="G65" s="356"/>
      <c r="H65" s="356"/>
      <c r="I65" s="356"/>
      <c r="J65" s="356"/>
      <c r="K65" s="356"/>
    </row>
    <row r="66" spans="1:11" ht="18">
      <c r="A66" s="358" t="s">
        <v>410</v>
      </c>
      <c r="B66" s="359"/>
      <c r="C66" s="360">
        <v>589.5470999999999</v>
      </c>
      <c r="D66" s="360">
        <f>+(13.4+142.6)*D132</f>
        <v>492.96000000000004</v>
      </c>
      <c r="E66" s="361">
        <f>+(2.3+128.8)*E132</f>
        <v>416.8980000000001</v>
      </c>
      <c r="F66" s="362"/>
      <c r="G66" s="356"/>
      <c r="H66" s="356"/>
      <c r="I66" s="356"/>
      <c r="J66" s="356"/>
      <c r="K66" s="356"/>
    </row>
    <row r="67" spans="1:11" ht="0.75" customHeight="1">
      <c r="A67" s="358"/>
      <c r="B67" s="359"/>
      <c r="C67" s="360"/>
      <c r="D67" s="360"/>
      <c r="E67" s="361"/>
      <c r="F67" s="362"/>
      <c r="G67" s="356"/>
      <c r="H67" s="356"/>
      <c r="I67" s="356"/>
      <c r="J67" s="356"/>
      <c r="K67" s="356"/>
    </row>
    <row r="68" spans="1:11" ht="18" customHeight="1">
      <c r="A68" s="358" t="s">
        <v>426</v>
      </c>
      <c r="B68" s="359"/>
      <c r="C68" s="360"/>
      <c r="D68" s="360"/>
      <c r="E68" s="361"/>
      <c r="F68" s="362"/>
      <c r="G68" s="356"/>
      <c r="H68" s="356"/>
      <c r="I68" s="356"/>
      <c r="J68" s="356"/>
      <c r="K68" s="356"/>
    </row>
    <row r="69" spans="1:11" ht="18">
      <c r="A69" s="358" t="s">
        <v>409</v>
      </c>
      <c r="B69" s="359">
        <v>30000</v>
      </c>
      <c r="C69" s="360">
        <v>1545.6333</v>
      </c>
      <c r="D69" s="360">
        <f>560.8*D132</f>
        <v>1772.128</v>
      </c>
      <c r="E69" s="361">
        <f>616.6*D132</f>
        <v>1948.4560000000001</v>
      </c>
      <c r="F69" s="362"/>
      <c r="G69" s="356"/>
      <c r="H69" s="356"/>
      <c r="I69" s="356"/>
      <c r="J69" s="356"/>
      <c r="K69" s="356"/>
    </row>
    <row r="70" spans="1:11" ht="18">
      <c r="A70" s="358" t="s">
        <v>410</v>
      </c>
      <c r="B70" s="359"/>
      <c r="C70" s="360">
        <v>1883.0238</v>
      </c>
      <c r="D70" s="360">
        <f>570.7*D132</f>
        <v>1803.4120000000003</v>
      </c>
      <c r="E70" s="361">
        <f>514.9*E132</f>
        <v>1637.382</v>
      </c>
      <c r="F70" s="362"/>
      <c r="G70" s="356"/>
      <c r="H70" s="356"/>
      <c r="I70" s="356"/>
      <c r="J70" s="356"/>
      <c r="K70" s="356"/>
    </row>
    <row r="71" spans="1:11" ht="1.5" customHeight="1">
      <c r="A71" s="358"/>
      <c r="B71" s="359"/>
      <c r="C71" s="360"/>
      <c r="D71" s="370"/>
      <c r="E71" s="370"/>
      <c r="F71" s="371"/>
      <c r="G71" s="356"/>
      <c r="H71" s="356"/>
      <c r="I71" s="356"/>
      <c r="J71" s="356"/>
      <c r="K71" s="356"/>
    </row>
    <row r="72" spans="1:11" ht="18">
      <c r="A72" s="350" t="s">
        <v>427</v>
      </c>
      <c r="B72" s="359"/>
      <c r="C72" s="360"/>
      <c r="D72" s="361"/>
      <c r="E72" s="361"/>
      <c r="F72" s="362"/>
      <c r="G72" s="356"/>
      <c r="H72" s="356"/>
      <c r="I72" s="356"/>
      <c r="J72" s="356"/>
      <c r="K72" s="356"/>
    </row>
    <row r="73" spans="1:11" ht="18">
      <c r="A73" s="358" t="s">
        <v>428</v>
      </c>
      <c r="B73" s="359"/>
      <c r="C73" s="360"/>
      <c r="D73" s="360"/>
      <c r="E73" s="361"/>
      <c r="F73" s="362"/>
      <c r="G73" s="356"/>
      <c r="H73" s="356"/>
      <c r="I73" s="356"/>
      <c r="J73" s="356"/>
      <c r="K73" s="356"/>
    </row>
    <row r="74" spans="1:11" ht="18">
      <c r="A74" s="358" t="s">
        <v>409</v>
      </c>
      <c r="B74" s="359">
        <v>55000</v>
      </c>
      <c r="C74" s="360">
        <v>10494.632398119571</v>
      </c>
      <c r="D74" s="360">
        <f>+(1279.2*2*D132)+((53138.6*2)/117.42)*D132</f>
        <v>10944.669634474536</v>
      </c>
      <c r="E74" s="361">
        <f>+(1279.2*2*E132)+((53138.6*2)/117.42)*E132</f>
        <v>11013.939695452224</v>
      </c>
      <c r="F74" s="363"/>
      <c r="G74" s="356"/>
      <c r="H74" s="356"/>
      <c r="I74" s="356"/>
      <c r="J74" s="356"/>
      <c r="K74" s="356"/>
    </row>
    <row r="75" spans="1:11" ht="18">
      <c r="A75" s="358" t="s">
        <v>410</v>
      </c>
      <c r="B75" s="359"/>
      <c r="C75" s="360">
        <v>2024.9</v>
      </c>
      <c r="D75" s="360">
        <f>+((207.2+175.8)*D132)+((5978.1+5313.9)/117.42)*D132</f>
        <v>1514.1696269800716</v>
      </c>
      <c r="E75" s="361">
        <f>+((144.3+112.8)*E132)+((4649.6+3985.4)/117.42)*E132</f>
        <v>1051.4333909044458</v>
      </c>
      <c r="F75" s="363"/>
      <c r="G75" s="356"/>
      <c r="H75" s="356"/>
      <c r="I75" s="356"/>
      <c r="J75" s="356"/>
      <c r="K75" s="356"/>
    </row>
    <row r="76" spans="1:11" ht="11.25" customHeight="1" thickBot="1">
      <c r="A76" s="372"/>
      <c r="B76" s="373"/>
      <c r="C76" s="360"/>
      <c r="D76" s="360"/>
      <c r="E76" s="374"/>
      <c r="F76" s="362"/>
      <c r="G76" s="356"/>
      <c r="H76" s="356"/>
      <c r="I76" s="356"/>
      <c r="J76" s="356"/>
      <c r="K76" s="356"/>
    </row>
    <row r="77" spans="1:11" ht="24.75" customHeight="1" thickBot="1">
      <c r="A77" s="343" t="s">
        <v>429</v>
      </c>
      <c r="B77" s="375"/>
      <c r="C77" s="344">
        <f>SUM(C79:C86)</f>
        <v>9949.762499999999</v>
      </c>
      <c r="D77" s="344">
        <f>SUM(D79:D86)</f>
        <v>10029.524</v>
      </c>
      <c r="E77" s="344">
        <f>SUM(E79:E86)</f>
        <v>9669.108</v>
      </c>
      <c r="F77" s="376"/>
      <c r="G77" s="356"/>
      <c r="H77" s="356"/>
      <c r="I77" s="356"/>
      <c r="J77" s="356"/>
      <c r="K77" s="356"/>
    </row>
    <row r="78" spans="1:11" ht="9.75" customHeight="1">
      <c r="A78" s="358"/>
      <c r="B78" s="359"/>
      <c r="C78" s="360"/>
      <c r="D78" s="361"/>
      <c r="E78" s="374"/>
      <c r="F78" s="363"/>
      <c r="G78" s="356"/>
      <c r="H78" s="356"/>
      <c r="I78" s="356"/>
      <c r="J78" s="356"/>
      <c r="K78" s="356"/>
    </row>
    <row r="79" spans="1:11" ht="18">
      <c r="A79" s="377" t="s">
        <v>430</v>
      </c>
      <c r="B79" s="351"/>
      <c r="C79" s="360"/>
      <c r="D79" s="361"/>
      <c r="E79" s="374"/>
      <c r="F79" s="362"/>
      <c r="G79" s="356"/>
      <c r="H79" s="356"/>
      <c r="I79" s="356"/>
      <c r="J79" s="356"/>
      <c r="K79" s="356"/>
    </row>
    <row r="80" spans="1:11" ht="18">
      <c r="A80" s="358" t="s">
        <v>431</v>
      </c>
      <c r="B80" s="351"/>
      <c r="C80" s="360"/>
      <c r="D80" s="360"/>
      <c r="E80" s="374"/>
      <c r="F80" s="362"/>
      <c r="G80" s="356"/>
      <c r="H80" s="356"/>
      <c r="I80" s="356"/>
      <c r="J80" s="356"/>
      <c r="K80" s="356"/>
    </row>
    <row r="81" spans="1:11" ht="18">
      <c r="A81" s="358" t="s">
        <v>409</v>
      </c>
      <c r="B81" s="359">
        <v>35076.4</v>
      </c>
      <c r="C81" s="360">
        <v>6866.2527</v>
      </c>
      <c r="D81" s="360">
        <f>1133*2*D132</f>
        <v>7160.56</v>
      </c>
      <c r="E81" s="374">
        <f>1133*2*E132</f>
        <v>7205.88</v>
      </c>
      <c r="F81" s="362"/>
      <c r="G81" s="356"/>
      <c r="H81" s="356"/>
      <c r="I81" s="356"/>
      <c r="J81" s="356"/>
      <c r="K81" s="356"/>
    </row>
    <row r="82" spans="1:11" ht="18">
      <c r="A82" s="358" t="s">
        <v>410</v>
      </c>
      <c r="B82" s="359"/>
      <c r="C82" s="361">
        <v>2549.0784</v>
      </c>
      <c r="D82" s="361">
        <f>+(373.9+342.7)*D132</f>
        <v>2264.4559999999997</v>
      </c>
      <c r="E82" s="374">
        <f>+(311.6+280.4)*E132</f>
        <v>1882.5600000000002</v>
      </c>
      <c r="F82" s="362"/>
      <c r="G82" s="356"/>
      <c r="H82" s="356"/>
      <c r="I82" s="356"/>
      <c r="J82" s="356"/>
      <c r="K82" s="356"/>
    </row>
    <row r="83" spans="1:11" ht="18">
      <c r="A83" s="378" t="s">
        <v>432</v>
      </c>
      <c r="B83" s="379"/>
      <c r="C83" s="380"/>
      <c r="D83" s="380"/>
      <c r="E83" s="380"/>
      <c r="F83" s="381"/>
      <c r="G83" s="356"/>
      <c r="H83" s="356"/>
      <c r="I83" s="356"/>
      <c r="J83" s="356"/>
      <c r="K83" s="356"/>
    </row>
    <row r="84" spans="1:11" ht="18">
      <c r="A84" s="358" t="s">
        <v>433</v>
      </c>
      <c r="B84" s="379"/>
      <c r="C84" s="380"/>
      <c r="D84" s="380"/>
      <c r="E84" s="380"/>
      <c r="F84" s="381"/>
      <c r="G84" s="356"/>
      <c r="H84" s="356"/>
      <c r="I84" s="356"/>
      <c r="J84" s="356"/>
      <c r="K84" s="356"/>
    </row>
    <row r="85" spans="1:11" ht="18">
      <c r="A85" s="358" t="s">
        <v>409</v>
      </c>
      <c r="B85" s="379"/>
      <c r="C85" s="380">
        <v>454.5</v>
      </c>
      <c r="D85" s="380">
        <f>75*2*D132</f>
        <v>474</v>
      </c>
      <c r="E85" s="380">
        <f>+(75*2*E132)</f>
        <v>477</v>
      </c>
      <c r="F85" s="381"/>
      <c r="G85" s="356"/>
      <c r="H85" s="356"/>
      <c r="I85" s="356"/>
      <c r="J85" s="356"/>
      <c r="K85" s="356"/>
    </row>
    <row r="86" spans="1:11" ht="18" thickBot="1">
      <c r="A86" s="358" t="s">
        <v>410</v>
      </c>
      <c r="B86" s="379"/>
      <c r="C86" s="380">
        <v>79.9314</v>
      </c>
      <c r="D86" s="380">
        <f>+(21.7+19.6)*D132</f>
        <v>130.508</v>
      </c>
      <c r="E86" s="380">
        <f>+(17.4+15.2)*E132</f>
        <v>103.66799999999999</v>
      </c>
      <c r="F86" s="381"/>
      <c r="G86" s="356"/>
      <c r="H86" s="356"/>
      <c r="I86" s="356"/>
      <c r="J86" s="356"/>
      <c r="K86" s="356"/>
    </row>
    <row r="87" spans="1:6" ht="25.5" customHeight="1" thickBot="1">
      <c r="A87" s="343" t="s">
        <v>434</v>
      </c>
      <c r="C87" s="344">
        <f>SUM(C89:C106)</f>
        <v>240756.58999999997</v>
      </c>
      <c r="D87" s="344">
        <f>SUM(D89:D106)</f>
        <v>204926.97</v>
      </c>
      <c r="E87" s="382">
        <f>SUM(E89:E106)</f>
        <v>78035.14</v>
      </c>
      <c r="F87" s="383">
        <f>SUM(F89:F106)</f>
        <v>523718.69999999995</v>
      </c>
    </row>
    <row r="88" spans="1:6" ht="9.75" customHeight="1">
      <c r="A88" s="358"/>
      <c r="C88" s="360"/>
      <c r="D88" s="361"/>
      <c r="E88" s="374"/>
      <c r="F88" s="369"/>
    </row>
    <row r="89" spans="1:6" ht="18">
      <c r="A89" s="350" t="s">
        <v>435</v>
      </c>
      <c r="C89" s="360"/>
      <c r="D89" s="361"/>
      <c r="E89" s="374"/>
      <c r="F89" s="369"/>
    </row>
    <row r="90" spans="1:6" ht="18">
      <c r="A90" s="358" t="s">
        <v>436</v>
      </c>
      <c r="C90" s="360">
        <v>44608.28</v>
      </c>
      <c r="D90" s="360">
        <f>23858.8+24916.3</f>
        <v>48775.1</v>
      </c>
      <c r="E90" s="374">
        <f>25987.5+26937.3</f>
        <v>52924.8</v>
      </c>
      <c r="F90" s="369">
        <f>SUM(C90:E90)</f>
        <v>146308.18</v>
      </c>
    </row>
    <row r="91" spans="1:6" ht="18">
      <c r="A91" s="358" t="s">
        <v>437</v>
      </c>
      <c r="C91" s="361">
        <v>6683.55</v>
      </c>
      <c r="D91" s="361">
        <f>2886.6+2484.8</f>
        <v>5371.4</v>
      </c>
      <c r="E91" s="374">
        <f>2096.1+1602.9</f>
        <v>3699</v>
      </c>
      <c r="F91" s="369">
        <f>SUM(C91:E91)</f>
        <v>15753.95</v>
      </c>
    </row>
    <row r="92" spans="1:6" ht="18">
      <c r="A92" s="350" t="s">
        <v>438</v>
      </c>
      <c r="C92" s="360"/>
      <c r="D92" s="361"/>
      <c r="E92" s="374"/>
      <c r="F92" s="369"/>
    </row>
    <row r="93" spans="1:6" ht="21" customHeight="1">
      <c r="A93" s="358" t="s">
        <v>436</v>
      </c>
      <c r="C93" s="360">
        <v>87683.09</v>
      </c>
      <c r="D93" s="360">
        <v>47470.7</v>
      </c>
      <c r="E93" s="374"/>
      <c r="F93" s="369">
        <f>SUM(C93:E93)</f>
        <v>135153.78999999998</v>
      </c>
    </row>
    <row r="94" spans="1:6" ht="20.25" customHeight="1">
      <c r="A94" s="358" t="s">
        <v>437</v>
      </c>
      <c r="C94" s="360">
        <v>3585.1</v>
      </c>
      <c r="D94" s="361">
        <v>543.9</v>
      </c>
      <c r="E94" s="374"/>
      <c r="F94" s="369">
        <f>SUM(C94:E94)</f>
        <v>4129</v>
      </c>
    </row>
    <row r="95" spans="1:6" ht="18">
      <c r="A95" s="350" t="s">
        <v>439</v>
      </c>
      <c r="C95" s="360"/>
      <c r="D95" s="361"/>
      <c r="E95" s="374"/>
      <c r="F95" s="369"/>
    </row>
    <row r="96" spans="1:6" ht="20.25" customHeight="1">
      <c r="A96" s="358" t="s">
        <v>436</v>
      </c>
      <c r="C96" s="360">
        <v>3183.27</v>
      </c>
      <c r="D96" s="360">
        <f>282.8+285.6+288.5+291.4+294.3+297.2+300.2+303.2+306.3+309.3+312.4+315.5</f>
        <v>3586.7000000000007</v>
      </c>
      <c r="E96" s="374">
        <f>318.7+321.9+325.1+328.3+331.6+334.9+338.3+341.7+345.1+348.6+352+355.6</f>
        <v>4041.7999999999997</v>
      </c>
      <c r="F96" s="369">
        <f>SUM(C96:E96)</f>
        <v>10811.77</v>
      </c>
    </row>
    <row r="97" spans="1:6" ht="21" customHeight="1">
      <c r="A97" s="358" t="s">
        <v>437</v>
      </c>
      <c r="C97" s="360">
        <v>1512.08</v>
      </c>
      <c r="D97" s="361">
        <f>123.1+122.6+122+121.4+120.8+120.1+119.5+118.8+118.1+117.3+116.6+115.8</f>
        <v>1436.0999999999997</v>
      </c>
      <c r="E97" s="374">
        <f>114.9+114.1+113.2+112.3+111.4+110.4+109.4+108.4+107.3+106.2+105.1+103.9</f>
        <v>1316.6</v>
      </c>
      <c r="F97" s="369">
        <f>SUM(C97:E97)</f>
        <v>4264.779999999999</v>
      </c>
    </row>
    <row r="98" spans="1:6" ht="18">
      <c r="A98" s="350" t="s">
        <v>440</v>
      </c>
      <c r="C98" s="360"/>
      <c r="D98" s="361"/>
      <c r="E98" s="374"/>
      <c r="F98" s="369"/>
    </row>
    <row r="99" spans="1:6" ht="18" customHeight="1">
      <c r="A99" s="358" t="s">
        <v>436</v>
      </c>
      <c r="C99" s="360">
        <v>73826.416</v>
      </c>
      <c r="D99" s="360">
        <v>80074.8</v>
      </c>
      <c r="E99" s="374"/>
      <c r="F99" s="369">
        <f>SUM(C99:E99)</f>
        <v>153901.21600000001</v>
      </c>
    </row>
    <row r="100" spans="1:6" ht="21" customHeight="1">
      <c r="A100" s="358" t="s">
        <v>437</v>
      </c>
      <c r="C100" s="360">
        <v>4537.894</v>
      </c>
      <c r="D100" s="361">
        <v>1727</v>
      </c>
      <c r="E100" s="374"/>
      <c r="F100" s="369">
        <f>SUM(C100:E100)</f>
        <v>6264.894</v>
      </c>
    </row>
    <row r="101" spans="1:6" ht="18">
      <c r="A101" s="350" t="s">
        <v>441</v>
      </c>
      <c r="C101" s="360"/>
      <c r="D101" s="361"/>
      <c r="E101" s="374"/>
      <c r="F101" s="369"/>
    </row>
    <row r="102" spans="1:6" ht="18">
      <c r="A102" s="358" t="s">
        <v>436</v>
      </c>
      <c r="C102" s="360">
        <v>6860.5</v>
      </c>
      <c r="D102" s="361">
        <v>7747.3</v>
      </c>
      <c r="E102" s="374">
        <v>7747.3</v>
      </c>
      <c r="F102" s="369">
        <f>SUM(C102:E102)</f>
        <v>22355.1</v>
      </c>
    </row>
    <row r="103" spans="1:6" ht="18">
      <c r="A103" s="358" t="s">
        <v>437</v>
      </c>
      <c r="C103" s="360">
        <v>2214.1</v>
      </c>
      <c r="D103" s="361">
        <v>2405.2</v>
      </c>
      <c r="E103" s="374">
        <v>2405.22</v>
      </c>
      <c r="F103" s="369">
        <f>SUM(C103:E103)</f>
        <v>7024.519999999999</v>
      </c>
    </row>
    <row r="104" spans="1:6" ht="18">
      <c r="A104" s="350" t="s">
        <v>442</v>
      </c>
      <c r="C104" s="360"/>
      <c r="D104" s="361"/>
      <c r="E104" s="374"/>
      <c r="F104" s="369"/>
    </row>
    <row r="105" spans="1:6" ht="18">
      <c r="A105" s="358" t="s">
        <v>443</v>
      </c>
      <c r="C105" s="360">
        <v>4305.91</v>
      </c>
      <c r="D105" s="361">
        <v>4015.27</v>
      </c>
      <c r="E105" s="374">
        <v>4120.52</v>
      </c>
      <c r="F105" s="369">
        <f>SUM(C105:E105)</f>
        <v>12441.7</v>
      </c>
    </row>
    <row r="106" spans="1:6" ht="18">
      <c r="A106" s="358" t="s">
        <v>444</v>
      </c>
      <c r="C106" s="360">
        <v>1756.4</v>
      </c>
      <c r="D106" s="361">
        <v>1773.5</v>
      </c>
      <c r="E106" s="374">
        <v>1779.9</v>
      </c>
      <c r="F106" s="369">
        <f>SUM(C106:E106)</f>
        <v>5309.8</v>
      </c>
    </row>
    <row r="107" spans="1:6" ht="8.25" customHeight="1" thickBot="1">
      <c r="A107" s="384"/>
      <c r="C107" s="361"/>
      <c r="D107" s="361"/>
      <c r="E107" s="374"/>
      <c r="F107" s="369"/>
    </row>
    <row r="108" spans="1:6" ht="18" hidden="1">
      <c r="A108" s="385" t="s">
        <v>62</v>
      </c>
      <c r="C108" s="386">
        <f>+C109+C110</f>
        <v>443417.90712811955</v>
      </c>
      <c r="D108" s="386">
        <f>+D109+D110</f>
        <v>415025.5172614546</v>
      </c>
      <c r="E108" s="386">
        <f>+E109+E110</f>
        <v>286892.42308635666</v>
      </c>
      <c r="F108" s="387">
        <f>+F109+F110</f>
        <v>523718.7</v>
      </c>
    </row>
    <row r="109" spans="1:6" ht="18" hidden="1">
      <c r="A109" s="384" t="s">
        <v>445</v>
      </c>
      <c r="C109" s="388">
        <f>+C16+C19+C23+C27+C31+C35+C44+C48+C53+C57+C61+C65+C69+C74+C81+C85+C90+C93+C96+C99+C102+C105</f>
        <v>377157.38703811954</v>
      </c>
      <c r="D109" s="388">
        <f>+D16+D19+D23+D27+D31+D35+D44+D48+D53+D57+D61+D65+D69+D74+D81+D85+D90+D93+D96+D99+D102+D105</f>
        <v>352184.99563447456</v>
      </c>
      <c r="E109" s="388">
        <f>+E16+E19+E23+E27+E31+E35+E44+E48+E53+E57+E61+E65+E69+E74+E81+E85+E90+E93+E96+E99+E102+E105</f>
        <v>231163.7156954522</v>
      </c>
      <c r="F109" s="389">
        <f>+F16+F19+F23+F27+F31+F35+F44+F48+F53+F57+F61+F65+F69+F74+F81+F85+F90+F93+F96+F99+F102+F105</f>
        <v>480971.756</v>
      </c>
    </row>
    <row r="110" spans="1:6" ht="18" hidden="1">
      <c r="A110" s="384" t="s">
        <v>446</v>
      </c>
      <c r="C110" s="388">
        <f>+C17+C20+C24+C28+C32+C36+C39+C45+C49+C54+C58+C62+C66+C70+C75+C82+C86+C91+C94+C97+C100+C103+C106</f>
        <v>66260.52009</v>
      </c>
      <c r="D110" s="388">
        <f>+D17+D20+D24+D28+D32+D36+D39+D45+D49+D54+D58+D62+D66+D70+D75+D82+D86+D91+D94+D97+D100+D103+D106</f>
        <v>62840.52162698007</v>
      </c>
      <c r="E110" s="388">
        <f>+E17+E20+E24+E28+E32+E36+E39+E45+E49+E54+E58+E62+E66+E70+E75+E82+E86+E91+E94+E97+E100+E103+E106</f>
        <v>55728.70739090444</v>
      </c>
      <c r="F110" s="389">
        <f>+F17+F20+F24+F28+F32+F36+F45+F49+F54+F58+F62+F66+F70+F75+F82+F86+F91+F94+F97+F100+F103+F106</f>
        <v>42746.944</v>
      </c>
    </row>
    <row r="111" spans="1:6" ht="12.75" hidden="1" thickBot="1">
      <c r="A111" s="390"/>
      <c r="C111" s="391"/>
      <c r="D111" s="391"/>
      <c r="E111" s="392"/>
      <c r="F111" s="393"/>
    </row>
    <row r="112" spans="1:6" ht="25.5" customHeight="1" hidden="1" thickBot="1">
      <c r="A112" s="343" t="s">
        <v>447</v>
      </c>
      <c r="B112" s="344">
        <f>SUM(B117:B195)</f>
        <v>0</v>
      </c>
      <c r="C112" s="344">
        <f>SUM(C114:C126)</f>
        <v>0</v>
      </c>
      <c r="D112" s="344">
        <f>SUM(D114:D126)</f>
        <v>0</v>
      </c>
      <c r="E112" s="344">
        <f>SUM(E114:E126)</f>
        <v>0</v>
      </c>
      <c r="F112" s="394"/>
    </row>
    <row r="113" spans="1:6" ht="18" customHeight="1" hidden="1">
      <c r="A113" s="395"/>
      <c r="B113" s="396"/>
      <c r="C113" s="397"/>
      <c r="D113" s="386"/>
      <c r="E113" s="398"/>
      <c r="F113" s="394"/>
    </row>
    <row r="114" spans="1:6" ht="18" customHeight="1" hidden="1">
      <c r="A114" s="350" t="s">
        <v>448</v>
      </c>
      <c r="C114" s="360"/>
      <c r="D114" s="360"/>
      <c r="E114" s="374"/>
      <c r="F114" s="394"/>
    </row>
    <row r="115" spans="1:6" ht="18" customHeight="1" hidden="1">
      <c r="A115" s="358" t="s">
        <v>449</v>
      </c>
      <c r="C115" s="361"/>
      <c r="D115" s="361"/>
      <c r="E115" s="374"/>
      <c r="F115" s="394"/>
    </row>
    <row r="116" spans="1:6" ht="18" customHeight="1" hidden="1">
      <c r="A116" s="358"/>
      <c r="C116" s="360"/>
      <c r="D116" s="361"/>
      <c r="E116" s="374"/>
      <c r="F116" s="394"/>
    </row>
    <row r="117" spans="1:6" ht="18" customHeight="1" hidden="1">
      <c r="A117" s="350" t="s">
        <v>450</v>
      </c>
      <c r="C117" s="360"/>
      <c r="D117" s="361"/>
      <c r="E117" s="374"/>
      <c r="F117" s="394"/>
    </row>
    <row r="118" spans="1:6" ht="18" customHeight="1" hidden="1">
      <c r="A118" s="358" t="s">
        <v>451</v>
      </c>
      <c r="C118" s="360"/>
      <c r="D118" s="360"/>
      <c r="E118" s="374"/>
      <c r="F118" s="394"/>
    </row>
    <row r="119" spans="1:6" ht="18" customHeight="1" hidden="1">
      <c r="A119" s="358" t="s">
        <v>452</v>
      </c>
      <c r="C119" s="360"/>
      <c r="D119" s="361"/>
      <c r="E119" s="374"/>
      <c r="F119" s="394"/>
    </row>
    <row r="120" spans="1:6" ht="18" customHeight="1" hidden="1">
      <c r="A120" s="358" t="s">
        <v>453</v>
      </c>
      <c r="C120" s="360"/>
      <c r="D120" s="361"/>
      <c r="E120" s="374"/>
      <c r="F120" s="394"/>
    </row>
    <row r="121" spans="1:6" ht="18" customHeight="1" hidden="1">
      <c r="A121" s="358" t="s">
        <v>454</v>
      </c>
      <c r="C121" s="360"/>
      <c r="D121" s="361"/>
      <c r="E121" s="374"/>
      <c r="F121" s="394"/>
    </row>
    <row r="122" spans="1:6" ht="18" customHeight="1" hidden="1">
      <c r="A122" s="358" t="s">
        <v>455</v>
      </c>
      <c r="C122" s="360"/>
      <c r="D122" s="360"/>
      <c r="E122" s="374"/>
      <c r="F122" s="394"/>
    </row>
    <row r="123" spans="1:6" ht="18" customHeight="1" hidden="1">
      <c r="A123" s="358"/>
      <c r="C123" s="360"/>
      <c r="D123" s="361"/>
      <c r="E123" s="374"/>
      <c r="F123" s="394"/>
    </row>
    <row r="124" spans="1:6" ht="12" customHeight="1" hidden="1">
      <c r="A124" s="350" t="s">
        <v>456</v>
      </c>
      <c r="C124" s="360"/>
      <c r="D124" s="361"/>
      <c r="E124" s="374"/>
      <c r="F124" s="394"/>
    </row>
    <row r="125" spans="1:6" ht="24.75" customHeight="1" hidden="1">
      <c r="A125" s="358" t="s">
        <v>457</v>
      </c>
      <c r="C125" s="360"/>
      <c r="D125" s="361"/>
      <c r="E125" s="374"/>
      <c r="F125" s="394"/>
    </row>
    <row r="126" spans="1:6" ht="14.25" customHeight="1" hidden="1" thickBot="1">
      <c r="A126" s="358"/>
      <c r="C126" s="360"/>
      <c r="D126" s="360"/>
      <c r="E126" s="374"/>
      <c r="F126" s="394"/>
    </row>
    <row r="127" spans="1:6" ht="18" customHeight="1">
      <c r="A127" s="385" t="s">
        <v>62</v>
      </c>
      <c r="C127" s="386">
        <f>+C128+C129</f>
        <v>443417.90712811955</v>
      </c>
      <c r="D127" s="386">
        <f>+D128+D129</f>
        <v>415025.5172614546</v>
      </c>
      <c r="E127" s="386">
        <f>+E128+E129</f>
        <v>286892.42308635666</v>
      </c>
      <c r="F127" s="386">
        <f>SUM(F115:F126)</f>
        <v>0</v>
      </c>
    </row>
    <row r="128" spans="1:6" ht="18" customHeight="1">
      <c r="A128" s="384" t="s">
        <v>445</v>
      </c>
      <c r="B128" s="354"/>
      <c r="C128" s="361">
        <f>+C109+C115+C119+C121+C122</f>
        <v>377157.38703811954</v>
      </c>
      <c r="D128" s="361">
        <f>+D109+D115+D119+D120+D121+D122</f>
        <v>352184.99563447456</v>
      </c>
      <c r="E128" s="361">
        <f>+E109+E115+E119+E120+E121+E122</f>
        <v>231163.7156954522</v>
      </c>
      <c r="F128" s="362"/>
    </row>
    <row r="129" spans="1:6" ht="18" customHeight="1" thickBot="1">
      <c r="A129" s="399" t="s">
        <v>446</v>
      </c>
      <c r="B129" s="400"/>
      <c r="C129" s="401">
        <f>+C110+C118+C125</f>
        <v>66260.52009</v>
      </c>
      <c r="D129" s="401">
        <f>+D110+D118+D125</f>
        <v>62840.52162698007</v>
      </c>
      <c r="E129" s="401">
        <f>+E110+E118+E125</f>
        <v>55728.70739090444</v>
      </c>
      <c r="F129" s="362"/>
    </row>
    <row r="130" spans="1:6" ht="18" customHeight="1" hidden="1">
      <c r="A130" s="402"/>
      <c r="B130" s="349"/>
      <c r="C130" s="362"/>
      <c r="D130" s="362"/>
      <c r="E130" s="362"/>
      <c r="F130" s="394"/>
    </row>
    <row r="131" spans="3:6" ht="18" customHeight="1" hidden="1">
      <c r="C131" s="394"/>
      <c r="D131" s="394"/>
      <c r="E131" s="394"/>
      <c r="F131" s="394"/>
    </row>
    <row r="132" spans="1:5" ht="15" hidden="1">
      <c r="A132" s="403" t="s">
        <v>458</v>
      </c>
      <c r="C132" s="325">
        <v>3.03</v>
      </c>
      <c r="D132" s="325">
        <v>3.16</v>
      </c>
      <c r="E132" s="325">
        <v>3.18</v>
      </c>
    </row>
    <row r="133" ht="15" hidden="1">
      <c r="A133" s="403"/>
    </row>
    <row r="134" ht="15" hidden="1">
      <c r="A134" s="403"/>
    </row>
    <row r="135" ht="15" hidden="1">
      <c r="A135" s="403"/>
    </row>
    <row r="136" ht="15" hidden="1">
      <c r="A136" s="403"/>
    </row>
    <row r="137" spans="1:7" ht="21" hidden="1">
      <c r="A137" s="434" t="s">
        <v>401</v>
      </c>
      <c r="B137" s="434"/>
      <c r="C137" s="434"/>
      <c r="D137" s="434"/>
      <c r="E137" s="434"/>
      <c r="G137" s="404"/>
    </row>
    <row r="138" spans="1:7" ht="6.75" customHeight="1" hidden="1">
      <c r="A138" s="327"/>
      <c r="B138" s="327"/>
      <c r="C138" s="327"/>
      <c r="D138" s="327"/>
      <c r="E138" s="327"/>
      <c r="G138" s="404"/>
    </row>
    <row r="139" spans="1:7" ht="17.25" hidden="1">
      <c r="A139" s="431" t="s">
        <v>402</v>
      </c>
      <c r="B139" s="431"/>
      <c r="C139" s="431"/>
      <c r="D139" s="431"/>
      <c r="E139" s="431"/>
      <c r="G139" s="404"/>
    </row>
    <row r="140" spans="1:5" ht="6.75" customHeight="1" hidden="1">
      <c r="A140" s="331"/>
      <c r="B140" s="331"/>
      <c r="C140" s="331"/>
      <c r="D140" s="331"/>
      <c r="E140" s="331"/>
    </row>
    <row r="141" spans="1:5" ht="17.25" hidden="1">
      <c r="A141" s="431" t="s">
        <v>459</v>
      </c>
      <c r="B141" s="431"/>
      <c r="C141" s="431"/>
      <c r="D141" s="431"/>
      <c r="E141" s="431"/>
    </row>
    <row r="142" spans="1:5" ht="6.75" customHeight="1" hidden="1">
      <c r="A142" s="331"/>
      <c r="B142" s="331"/>
      <c r="C142" s="331"/>
      <c r="D142" s="331"/>
      <c r="E142" s="331"/>
    </row>
    <row r="143" spans="1:5" ht="15" hidden="1">
      <c r="A143" s="432" t="s">
        <v>403</v>
      </c>
      <c r="B143" s="432"/>
      <c r="C143" s="432"/>
      <c r="D143" s="432"/>
      <c r="E143" s="432"/>
    </row>
    <row r="144" spans="1:4" ht="12.75" hidden="1" thickBot="1">
      <c r="A144" s="329"/>
      <c r="B144" s="329"/>
      <c r="C144" s="329"/>
      <c r="D144" s="329"/>
    </row>
    <row r="145" spans="1:5" ht="12" hidden="1">
      <c r="A145" s="333"/>
      <c r="B145" s="333"/>
      <c r="C145" s="334"/>
      <c r="D145" s="335"/>
      <c r="E145" s="335"/>
    </row>
    <row r="146" spans="1:5" ht="15" hidden="1">
      <c r="A146" s="336" t="s">
        <v>4</v>
      </c>
      <c r="B146" s="336" t="s">
        <v>404</v>
      </c>
      <c r="C146" s="336">
        <v>2007</v>
      </c>
      <c r="D146" s="337">
        <v>2008</v>
      </c>
      <c r="E146" s="337">
        <v>2009</v>
      </c>
    </row>
    <row r="147" spans="1:5" ht="15.75" hidden="1" thickBot="1">
      <c r="A147" s="338"/>
      <c r="B147" s="339"/>
      <c r="C147" s="340"/>
      <c r="D147" s="341"/>
      <c r="E147" s="341"/>
    </row>
    <row r="148" spans="1:5" ht="25.5" customHeight="1" hidden="1" thickBot="1">
      <c r="A148" s="343" t="s">
        <v>406</v>
      </c>
      <c r="B148" s="344"/>
      <c r="C148" s="344"/>
      <c r="D148" s="344">
        <f>SUM(D152:D170)</f>
        <v>22121.106</v>
      </c>
      <c r="E148" s="344">
        <f>SUM(E152:E170)</f>
        <v>28556.0661</v>
      </c>
    </row>
    <row r="149" spans="1:5" ht="18" hidden="1">
      <c r="A149" s="348"/>
      <c r="B149" s="348"/>
      <c r="C149" s="348"/>
      <c r="D149" s="348"/>
      <c r="E149" s="348"/>
    </row>
    <row r="150" spans="1:5" ht="18" hidden="1">
      <c r="A150" s="350" t="s">
        <v>407</v>
      </c>
      <c r="B150" s="351"/>
      <c r="C150" s="352"/>
      <c r="D150" s="353"/>
      <c r="E150" s="353"/>
    </row>
    <row r="151" spans="1:5" ht="6" customHeight="1" hidden="1">
      <c r="A151" s="350"/>
      <c r="B151" s="351"/>
      <c r="C151" s="352"/>
      <c r="D151" s="353"/>
      <c r="E151" s="353"/>
    </row>
    <row r="152" spans="1:5" ht="18" hidden="1">
      <c r="A152" s="358" t="s">
        <v>460</v>
      </c>
      <c r="B152" s="359"/>
      <c r="C152" s="360"/>
      <c r="D152" s="360"/>
      <c r="E152" s="361"/>
    </row>
    <row r="153" spans="1:5" ht="18" hidden="1">
      <c r="A153" s="358" t="s">
        <v>409</v>
      </c>
      <c r="B153" s="359"/>
      <c r="C153" s="360"/>
      <c r="D153" s="360"/>
      <c r="E153" s="361"/>
    </row>
    <row r="154" spans="1:5" ht="18" hidden="1">
      <c r="A154" s="358" t="s">
        <v>410</v>
      </c>
      <c r="B154" s="359"/>
      <c r="C154" s="360"/>
      <c r="D154" s="360">
        <f>(436.91+458.96)*D132</f>
        <v>2830.9492</v>
      </c>
      <c r="E154" s="361">
        <f>(481+503.08)*E132</f>
        <v>3129.3744</v>
      </c>
    </row>
    <row r="155" spans="1:5" ht="18" hidden="1">
      <c r="A155" s="358" t="s">
        <v>461</v>
      </c>
      <c r="B155" s="359"/>
      <c r="C155" s="360"/>
      <c r="D155" s="360">
        <f>(54.64+46.84)*D132</f>
        <v>320.6768</v>
      </c>
      <c r="E155" s="361">
        <f>(39+31.22)*E132</f>
        <v>223.2996</v>
      </c>
    </row>
    <row r="156" spans="1:5" ht="7.5" customHeight="1" hidden="1">
      <c r="A156" s="358"/>
      <c r="B156" s="359"/>
      <c r="C156" s="360"/>
      <c r="D156" s="360"/>
      <c r="E156" s="361"/>
    </row>
    <row r="157" spans="1:5" ht="18" hidden="1">
      <c r="A157" s="358" t="s">
        <v>462</v>
      </c>
      <c r="B157" s="359"/>
      <c r="C157" s="360"/>
      <c r="D157" s="361"/>
      <c r="E157" s="361"/>
    </row>
    <row r="158" spans="1:5" ht="18" hidden="1">
      <c r="A158" s="358" t="s">
        <v>409</v>
      </c>
      <c r="B158" s="359"/>
      <c r="C158" s="360"/>
      <c r="D158" s="361"/>
      <c r="E158" s="361"/>
    </row>
    <row r="159" spans="1:5" ht="18" hidden="1">
      <c r="A159" s="358" t="s">
        <v>410</v>
      </c>
      <c r="B159" s="359"/>
      <c r="C159" s="360"/>
      <c r="D159" s="361">
        <f>(1557.35+2273.26)*D132</f>
        <v>12104.7276</v>
      </c>
      <c r="E159" s="361">
        <f>2876.72*2*E132</f>
        <v>18295.9392</v>
      </c>
    </row>
    <row r="160" spans="1:5" ht="18" hidden="1">
      <c r="A160" s="358" t="s">
        <v>461</v>
      </c>
      <c r="B160" s="359"/>
      <c r="C160" s="360"/>
      <c r="D160" s="361">
        <f>(435.82+199.33)*D132</f>
        <v>2007.074</v>
      </c>
      <c r="E160" s="361"/>
    </row>
    <row r="161" spans="1:5" ht="7.5" customHeight="1" hidden="1">
      <c r="A161" s="358"/>
      <c r="B161" s="359"/>
      <c r="C161" s="360"/>
      <c r="D161" s="361"/>
      <c r="E161" s="361"/>
    </row>
    <row r="162" spans="1:5" ht="18" hidden="1">
      <c r="A162" s="358" t="s">
        <v>463</v>
      </c>
      <c r="B162" s="359"/>
      <c r="C162" s="360"/>
      <c r="D162" s="361"/>
      <c r="E162" s="361"/>
    </row>
    <row r="163" spans="1:5" ht="18" hidden="1">
      <c r="A163" s="358" t="s">
        <v>409</v>
      </c>
      <c r="B163" s="359"/>
      <c r="C163" s="360"/>
      <c r="D163" s="360"/>
      <c r="E163" s="361"/>
    </row>
    <row r="164" spans="1:5" ht="18" hidden="1">
      <c r="A164" s="358" t="s">
        <v>410</v>
      </c>
      <c r="B164" s="359"/>
      <c r="C164" s="360"/>
      <c r="D164" s="360">
        <f>(154.76+216.63)*D132</f>
        <v>1173.5924</v>
      </c>
      <c r="E164" s="361">
        <f>(251.55+286.49)*E132</f>
        <v>1710.9672</v>
      </c>
    </row>
    <row r="165" spans="1:5" ht="18" hidden="1">
      <c r="A165" s="358" t="s">
        <v>461</v>
      </c>
      <c r="B165" s="359"/>
      <c r="C165" s="360"/>
      <c r="D165" s="360">
        <f>(22.93+12.72)*D132</f>
        <v>112.654</v>
      </c>
      <c r="E165" s="361">
        <f>(6.9+1.18)*E132</f>
        <v>25.6944</v>
      </c>
    </row>
    <row r="166" spans="1:5" ht="7.5" customHeight="1" hidden="1">
      <c r="A166" s="358"/>
      <c r="B166" s="359"/>
      <c r="C166" s="360"/>
      <c r="D166" s="360"/>
      <c r="E166" s="361"/>
    </row>
    <row r="167" spans="1:5" ht="18" hidden="1">
      <c r="A167" s="358" t="s">
        <v>464</v>
      </c>
      <c r="B167" s="359"/>
      <c r="C167" s="360"/>
      <c r="D167" s="361"/>
      <c r="E167" s="361"/>
    </row>
    <row r="168" spans="1:5" ht="18" hidden="1">
      <c r="A168" s="358" t="s">
        <v>409</v>
      </c>
      <c r="B168" s="359"/>
      <c r="C168" s="360"/>
      <c r="D168" s="361"/>
      <c r="E168" s="361"/>
    </row>
    <row r="169" spans="1:5" ht="18" hidden="1">
      <c r="A169" s="358" t="s">
        <v>410</v>
      </c>
      <c r="B169" s="359"/>
      <c r="C169" s="360"/>
      <c r="D169" s="360">
        <f>(437.5+583.33)*D132</f>
        <v>3225.8228000000004</v>
      </c>
      <c r="E169" s="361">
        <f>(729.16+875)*E132</f>
        <v>5101.2288</v>
      </c>
    </row>
    <row r="170" spans="1:5" ht="18" hidden="1">
      <c r="A170" s="358" t="s">
        <v>461</v>
      </c>
      <c r="B170" s="359"/>
      <c r="C170" s="360"/>
      <c r="D170" s="361">
        <f>(65.62+43.75)*D132</f>
        <v>345.60920000000004</v>
      </c>
      <c r="E170" s="361">
        <f>21.875*E132</f>
        <v>69.5625</v>
      </c>
    </row>
    <row r="171" spans="1:5" ht="18" hidden="1" thickBot="1">
      <c r="A171" s="405"/>
      <c r="B171" s="406"/>
      <c r="C171" s="407"/>
      <c r="D171" s="407"/>
      <c r="E171" s="401"/>
    </row>
    <row r="172" spans="1:5" ht="18" hidden="1">
      <c r="A172" s="358" t="s">
        <v>465</v>
      </c>
      <c r="C172" s="386"/>
      <c r="D172" s="386" t="e">
        <f>+D173+D174+D175</f>
        <v>#REF!</v>
      </c>
      <c r="E172" s="386" t="e">
        <f>+E173+E174+E175</f>
        <v>#REF!</v>
      </c>
    </row>
    <row r="173" spans="1:5" ht="18" hidden="1">
      <c r="A173" s="358" t="s">
        <v>409</v>
      </c>
      <c r="C173" s="388"/>
      <c r="D173" s="388">
        <f>+D153+D158+D163+D168</f>
        <v>0</v>
      </c>
      <c r="E173" s="388">
        <f>+E153+E158+E163+E168</f>
        <v>0</v>
      </c>
    </row>
    <row r="174" spans="1:5" ht="18" hidden="1">
      <c r="A174" s="358" t="s">
        <v>410</v>
      </c>
      <c r="C174" s="388"/>
      <c r="D174" s="388">
        <f>+D154+D159+D164+D169</f>
        <v>19335.092</v>
      </c>
      <c r="E174" s="388">
        <f>+E154+E159+E164+E169</f>
        <v>28237.5096</v>
      </c>
    </row>
    <row r="175" spans="1:5" ht="18" hidden="1">
      <c r="A175" s="358" t="s">
        <v>461</v>
      </c>
      <c r="C175" s="388"/>
      <c r="D175" s="388" t="e">
        <f>+D155+D160+D165+#REF!+D170</f>
        <v>#REF!</v>
      </c>
      <c r="E175" s="388" t="e">
        <f>+E155+E160+E165+#REF!+E170</f>
        <v>#REF!</v>
      </c>
    </row>
    <row r="176" spans="1:5" ht="12.75" hidden="1" thickBot="1">
      <c r="A176" s="390"/>
      <c r="C176" s="391"/>
      <c r="D176" s="391"/>
      <c r="E176" s="392"/>
    </row>
    <row r="177" ht="12" hidden="1"/>
    <row r="178" ht="12" hidden="1"/>
    <row r="179" ht="12" hidden="1"/>
    <row r="180" ht="12" hidden="1"/>
    <row r="181" ht="12" hidden="1"/>
  </sheetData>
  <mergeCells count="6">
    <mergeCell ref="A2:D2"/>
    <mergeCell ref="A139:E139"/>
    <mergeCell ref="A141:E141"/>
    <mergeCell ref="A143:E143"/>
    <mergeCell ref="A6:E6"/>
    <mergeCell ref="A137:E137"/>
  </mergeCells>
  <printOptions horizontalCentered="1"/>
  <pageMargins left="0.7874015748031497" right="0.3937007874015748" top="1.062992125984252" bottom="0.1968503937007874" header="0.5118110236220472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showZeros="0" zoomScale="50" zoomScaleNormal="50" workbookViewId="0" topLeftCell="A1">
      <selection activeCell="G27" sqref="G27"/>
    </sheetView>
  </sheetViews>
  <sheetFormatPr defaultColWidth="11.421875" defaultRowHeight="12.75"/>
  <cols>
    <col min="1" max="1" width="3.7109375" style="31" customWidth="1"/>
    <col min="2" max="2" width="4.57421875" style="31" customWidth="1"/>
    <col min="3" max="3" width="75.8515625" style="31" customWidth="1"/>
    <col min="4" max="6" width="21.140625" style="31" customWidth="1"/>
    <col min="7" max="7" width="11.421875" style="31" customWidth="1"/>
    <col min="8" max="8" width="16.28125" style="31" customWidth="1"/>
    <col min="9" max="16384" width="11.421875" style="31" customWidth="1"/>
  </cols>
  <sheetData>
    <row r="1" ht="15">
      <c r="F1" s="32" t="s">
        <v>27</v>
      </c>
    </row>
    <row r="2" spans="1:6" ht="15">
      <c r="A2" s="412" t="s">
        <v>1</v>
      </c>
      <c r="B2" s="412"/>
      <c r="C2" s="412"/>
      <c r="D2" s="412"/>
      <c r="E2" s="412"/>
      <c r="F2" s="412"/>
    </row>
    <row r="3" spans="1:6" ht="15">
      <c r="A3" s="413" t="s">
        <v>2</v>
      </c>
      <c r="B3" s="413"/>
      <c r="C3" s="413"/>
      <c r="D3" s="413"/>
      <c r="E3" s="413"/>
      <c r="F3" s="413"/>
    </row>
    <row r="4" spans="1:6" ht="15">
      <c r="A4" s="413" t="s">
        <v>28</v>
      </c>
      <c r="B4" s="413"/>
      <c r="C4" s="413"/>
      <c r="D4" s="413"/>
      <c r="E4" s="413"/>
      <c r="F4" s="413"/>
    </row>
    <row r="5" spans="1:6" ht="15">
      <c r="A5" s="33"/>
      <c r="B5" s="33"/>
      <c r="C5" s="33"/>
      <c r="D5" s="33"/>
      <c r="E5" s="33"/>
      <c r="F5" s="33"/>
    </row>
    <row r="6" spans="1:6" ht="15">
      <c r="A6" s="33"/>
      <c r="B6" s="33"/>
      <c r="C6" s="33"/>
      <c r="D6" s="411"/>
      <c r="E6" s="411"/>
      <c r="F6" s="411"/>
    </row>
    <row r="7" spans="1:6" s="38" customFormat="1" ht="62.25" customHeight="1">
      <c r="A7" s="34"/>
      <c r="B7" s="35"/>
      <c r="C7" s="36" t="s">
        <v>29</v>
      </c>
      <c r="D7" s="37">
        <v>2007</v>
      </c>
      <c r="E7" s="37">
        <v>2008</v>
      </c>
      <c r="F7" s="37">
        <v>2009</v>
      </c>
    </row>
    <row r="8" spans="1:6" ht="18.75" customHeight="1">
      <c r="A8" s="39" t="s">
        <v>30</v>
      </c>
      <c r="B8" s="40"/>
      <c r="C8" s="40"/>
      <c r="D8" s="41">
        <f>+D9+D11+D16+D22+D23+D24</f>
        <v>6308211580</v>
      </c>
      <c r="E8" s="42">
        <f>+E9+E11+E16+E22+E23+E24</f>
        <v>6792269260</v>
      </c>
      <c r="F8" s="42">
        <f>+F9+F11+F16+F22+F23+F24</f>
        <v>7243728990</v>
      </c>
    </row>
    <row r="9" spans="1:6" ht="15">
      <c r="A9" s="39"/>
      <c r="B9" s="40" t="s">
        <v>31</v>
      </c>
      <c r="C9" s="40"/>
      <c r="D9" s="43">
        <f>+D10</f>
        <v>1502883000</v>
      </c>
      <c r="E9" s="42">
        <f>+E10</f>
        <v>1638420000</v>
      </c>
      <c r="F9" s="42">
        <f>+F10</f>
        <v>1761130000</v>
      </c>
    </row>
    <row r="10" spans="1:6" ht="15">
      <c r="A10" s="39"/>
      <c r="B10" s="40"/>
      <c r="C10" s="40" t="s">
        <v>32</v>
      </c>
      <c r="D10" s="43">
        <v>1502883000</v>
      </c>
      <c r="E10" s="42">
        <v>1638420000</v>
      </c>
      <c r="F10" s="42">
        <v>1761130000</v>
      </c>
    </row>
    <row r="11" spans="1:6" ht="15">
      <c r="A11" s="39"/>
      <c r="B11" s="40" t="s">
        <v>33</v>
      </c>
      <c r="C11" s="40"/>
      <c r="D11" s="43">
        <f>+D12+D13+D14+D15</f>
        <v>426810420</v>
      </c>
      <c r="E11" s="42">
        <f>+E12+E13+E14+E15</f>
        <v>440503570</v>
      </c>
      <c r="F11" s="42">
        <f>+F12+F13+F14+F15</f>
        <v>455287990</v>
      </c>
    </row>
    <row r="12" spans="1:6" ht="15">
      <c r="A12" s="39"/>
      <c r="B12" s="40"/>
      <c r="C12" s="40" t="s">
        <v>34</v>
      </c>
      <c r="D12" s="43">
        <v>40000</v>
      </c>
      <c r="E12" s="42">
        <v>40000</v>
      </c>
      <c r="F12" s="42">
        <v>40000</v>
      </c>
    </row>
    <row r="13" spans="1:6" ht="15">
      <c r="A13" s="39"/>
      <c r="B13" s="40"/>
      <c r="C13" s="40" t="s">
        <v>35</v>
      </c>
      <c r="D13" s="43">
        <v>285030810</v>
      </c>
      <c r="E13" s="42">
        <v>290748030</v>
      </c>
      <c r="F13" s="42">
        <v>296665350</v>
      </c>
    </row>
    <row r="14" spans="1:6" ht="15">
      <c r="A14" s="39"/>
      <c r="B14" s="40"/>
      <c r="C14" s="40" t="s">
        <v>36</v>
      </c>
      <c r="D14" s="43">
        <v>18279610</v>
      </c>
      <c r="E14" s="42">
        <v>21935540</v>
      </c>
      <c r="F14" s="42">
        <v>26322640</v>
      </c>
    </row>
    <row r="15" spans="1:6" ht="15">
      <c r="A15" s="39"/>
      <c r="B15" s="40"/>
      <c r="C15" s="40" t="s">
        <v>37</v>
      </c>
      <c r="D15" s="43">
        <v>123460000</v>
      </c>
      <c r="E15" s="42">
        <v>127780000</v>
      </c>
      <c r="F15" s="42">
        <v>132260000</v>
      </c>
    </row>
    <row r="16" spans="1:6" ht="15">
      <c r="A16" s="39"/>
      <c r="B16" s="40" t="s">
        <v>38</v>
      </c>
      <c r="C16" s="40"/>
      <c r="D16" s="43">
        <f>+D17+D18+D19+D20+D21</f>
        <v>3836942055</v>
      </c>
      <c r="E16" s="44">
        <f>+E17+E18+E19+E20+E21</f>
        <v>4174359005</v>
      </c>
      <c r="F16" s="44">
        <f>+F17+F18+F19+F20+F21</f>
        <v>4481824315</v>
      </c>
    </row>
    <row r="17" spans="1:6" ht="15">
      <c r="A17" s="39"/>
      <c r="B17" s="40"/>
      <c r="C17" s="40" t="s">
        <v>39</v>
      </c>
      <c r="D17" s="43">
        <v>1810790000</v>
      </c>
      <c r="E17" s="42">
        <v>1981690000</v>
      </c>
      <c r="F17" s="42">
        <v>2136010000</v>
      </c>
    </row>
    <row r="18" spans="1:10" ht="15">
      <c r="A18" s="39"/>
      <c r="B18" s="40"/>
      <c r="C18" s="40" t="s">
        <v>40</v>
      </c>
      <c r="D18" s="43">
        <v>189193000</v>
      </c>
      <c r="E18" s="42">
        <v>206370000</v>
      </c>
      <c r="F18" s="42">
        <v>221920000</v>
      </c>
      <c r="H18" s="40"/>
      <c r="I18" s="40"/>
      <c r="J18" s="40"/>
    </row>
    <row r="19" spans="1:10" ht="15">
      <c r="A19" s="39"/>
      <c r="B19" s="40"/>
      <c r="C19" s="40" t="s">
        <v>41</v>
      </c>
      <c r="D19" s="43">
        <v>81230000</v>
      </c>
      <c r="E19" s="42">
        <v>82270000</v>
      </c>
      <c r="F19" s="42">
        <v>85620000</v>
      </c>
      <c r="H19" s="45"/>
      <c r="I19" s="40"/>
      <c r="J19" s="40"/>
    </row>
    <row r="20" spans="1:10" ht="15">
      <c r="A20" s="39"/>
      <c r="B20" s="40"/>
      <c r="C20" s="40" t="s">
        <v>42</v>
      </c>
      <c r="D20" s="43">
        <v>320707385</v>
      </c>
      <c r="E20" s="42">
        <v>347997015</v>
      </c>
      <c r="F20" s="42">
        <v>372700355</v>
      </c>
      <c r="H20" s="40"/>
      <c r="I20" s="40"/>
      <c r="J20" s="40"/>
    </row>
    <row r="21" spans="1:10" ht="15">
      <c r="A21" s="39"/>
      <c r="B21" s="40"/>
      <c r="C21" s="40" t="s">
        <v>43</v>
      </c>
      <c r="D21" s="43">
        <v>1435021670</v>
      </c>
      <c r="E21" s="42">
        <v>1556031990</v>
      </c>
      <c r="F21" s="42">
        <v>1665573960</v>
      </c>
      <c r="H21" s="40"/>
      <c r="I21" s="40"/>
      <c r="J21" s="40"/>
    </row>
    <row r="22" spans="1:10" ht="15">
      <c r="A22" s="39"/>
      <c r="B22" s="40" t="s">
        <v>44</v>
      </c>
      <c r="C22" s="40"/>
      <c r="D22" s="43">
        <v>356742645</v>
      </c>
      <c r="E22" s="42">
        <f>183487445+179641200</f>
        <v>363128645</v>
      </c>
      <c r="F22" s="42">
        <f>189987445+179641200</f>
        <v>369628645</v>
      </c>
      <c r="H22" s="40"/>
      <c r="I22" s="40"/>
      <c r="J22" s="40"/>
    </row>
    <row r="23" spans="1:10" ht="15">
      <c r="A23" s="39"/>
      <c r="B23" s="40" t="s">
        <v>45</v>
      </c>
      <c r="C23" s="40"/>
      <c r="D23" s="43">
        <v>13343420</v>
      </c>
      <c r="E23" s="42">
        <f>3000000+1368000</f>
        <v>4368000</v>
      </c>
      <c r="F23" s="42">
        <v>4368000</v>
      </c>
      <c r="H23" s="40"/>
      <c r="I23" s="40"/>
      <c r="J23" s="40"/>
    </row>
    <row r="24" spans="1:6" ht="15">
      <c r="A24" s="39"/>
      <c r="B24" s="40" t="s">
        <v>46</v>
      </c>
      <c r="C24" s="40"/>
      <c r="D24" s="43">
        <v>171490040</v>
      </c>
      <c r="E24" s="42">
        <f>6000000+30000000+135490040</f>
        <v>171490040</v>
      </c>
      <c r="F24" s="42">
        <f>6000000+30000000+135490040</f>
        <v>171490040</v>
      </c>
    </row>
    <row r="25" spans="1:6" ht="15">
      <c r="A25" s="39" t="s">
        <v>47</v>
      </c>
      <c r="B25" s="40"/>
      <c r="C25" s="40"/>
      <c r="D25" s="43">
        <v>246010408</v>
      </c>
      <c r="E25" s="42">
        <v>195566019</v>
      </c>
      <c r="F25" s="42">
        <v>202817596</v>
      </c>
    </row>
    <row r="26" spans="1:6" ht="15">
      <c r="A26" s="39" t="s">
        <v>48</v>
      </c>
      <c r="B26" s="40"/>
      <c r="C26" s="40"/>
      <c r="D26" s="43">
        <f>D27+D31+D32</f>
        <v>1100489624</v>
      </c>
      <c r="E26" s="42">
        <f>+E27+E31+E32</f>
        <v>1164310099</v>
      </c>
      <c r="F26" s="42">
        <f>+F27+F31+F32</f>
        <v>1204998377</v>
      </c>
    </row>
    <row r="27" spans="1:6" ht="15">
      <c r="A27" s="39"/>
      <c r="B27" s="40" t="s">
        <v>49</v>
      </c>
      <c r="C27" s="40"/>
      <c r="D27" s="43">
        <f>+D28+D29+D30</f>
        <v>785516971</v>
      </c>
      <c r="E27" s="42">
        <f>+E28+E29+E30</f>
        <v>824792823</v>
      </c>
      <c r="F27" s="42">
        <f>+F28++F29+F30</f>
        <v>854485366</v>
      </c>
    </row>
    <row r="28" spans="1:6" ht="15">
      <c r="A28" s="39"/>
      <c r="B28" s="40"/>
      <c r="C28" s="40" t="s">
        <v>50</v>
      </c>
      <c r="D28" s="43">
        <v>359536150</v>
      </c>
      <c r="E28" s="42">
        <v>377512960</v>
      </c>
      <c r="F28" s="42">
        <v>391103427</v>
      </c>
    </row>
    <row r="29" spans="1:6" ht="15">
      <c r="A29" s="39"/>
      <c r="B29" s="40"/>
      <c r="C29" s="40" t="s">
        <v>51</v>
      </c>
      <c r="D29" s="43">
        <v>420408585</v>
      </c>
      <c r="E29" s="42">
        <v>441429015</v>
      </c>
      <c r="F29" s="42">
        <v>457320460</v>
      </c>
    </row>
    <row r="30" spans="1:6" ht="15">
      <c r="A30" s="39"/>
      <c r="B30" s="40"/>
      <c r="C30" s="40" t="s">
        <v>52</v>
      </c>
      <c r="D30" s="43">
        <v>5572236</v>
      </c>
      <c r="E30" s="42">
        <v>5850848</v>
      </c>
      <c r="F30" s="42">
        <v>6061479</v>
      </c>
    </row>
    <row r="31" spans="1:6" ht="15">
      <c r="A31" s="39"/>
      <c r="B31" s="40" t="s">
        <v>53</v>
      </c>
      <c r="C31" s="40"/>
      <c r="D31" s="43">
        <v>314622653</v>
      </c>
      <c r="E31" s="42">
        <f>148155416+157481660+23530200+10000000</f>
        <v>339167276</v>
      </c>
      <c r="F31" s="42">
        <f>153481811+163151000+23530200+10000000</f>
        <v>350163011</v>
      </c>
    </row>
    <row r="32" spans="1:6" ht="15">
      <c r="A32" s="39"/>
      <c r="B32" s="40" t="s">
        <v>54</v>
      </c>
      <c r="C32" s="40"/>
      <c r="D32" s="43">
        <v>350000</v>
      </c>
      <c r="E32" s="42">
        <v>350000</v>
      </c>
      <c r="F32" s="42">
        <v>350000</v>
      </c>
    </row>
    <row r="33" spans="1:6" ht="15">
      <c r="A33" s="39" t="s">
        <v>55</v>
      </c>
      <c r="B33" s="40"/>
      <c r="C33" s="40"/>
      <c r="D33" s="43">
        <v>77772338</v>
      </c>
      <c r="E33" s="42">
        <v>77966838</v>
      </c>
      <c r="F33" s="42">
        <v>78113880</v>
      </c>
    </row>
    <row r="34" spans="1:6" ht="15">
      <c r="A34" s="39" t="s">
        <v>56</v>
      </c>
      <c r="B34" s="40"/>
      <c r="C34" s="40"/>
      <c r="D34" s="43">
        <v>66747331</v>
      </c>
      <c r="E34" s="42">
        <v>69848082</v>
      </c>
      <c r="F34" s="42">
        <v>72116131</v>
      </c>
    </row>
    <row r="35" spans="1:6" ht="15">
      <c r="A35" s="39" t="s">
        <v>57</v>
      </c>
      <c r="B35" s="40"/>
      <c r="C35" s="40"/>
      <c r="D35" s="43">
        <v>313238806</v>
      </c>
      <c r="E35" s="42">
        <v>313215056</v>
      </c>
      <c r="F35" s="42">
        <v>313215056</v>
      </c>
    </row>
    <row r="36" spans="1:6" ht="15">
      <c r="A36" s="39" t="s">
        <v>58</v>
      </c>
      <c r="B36" s="40"/>
      <c r="C36" s="40"/>
      <c r="D36" s="43">
        <v>178000</v>
      </c>
      <c r="E36" s="42">
        <v>178000</v>
      </c>
      <c r="F36" s="42">
        <v>178000</v>
      </c>
    </row>
    <row r="37" spans="1:6" ht="15">
      <c r="A37" s="39" t="s">
        <v>59</v>
      </c>
      <c r="B37" s="40"/>
      <c r="C37" s="40"/>
      <c r="D37" s="43">
        <v>296961762</v>
      </c>
      <c r="E37" s="42">
        <v>344385131</v>
      </c>
      <c r="F37" s="42">
        <v>349385131</v>
      </c>
    </row>
    <row r="38" spans="1:6" ht="15">
      <c r="A38" s="39" t="s">
        <v>60</v>
      </c>
      <c r="B38" s="40"/>
      <c r="C38" s="40"/>
      <c r="D38" s="43">
        <v>1050000</v>
      </c>
      <c r="E38" s="42">
        <v>1050000</v>
      </c>
      <c r="F38" s="42">
        <v>1050000</v>
      </c>
    </row>
    <row r="39" spans="1:6" ht="15">
      <c r="A39" s="46" t="s">
        <v>61</v>
      </c>
      <c r="B39" s="47"/>
      <c r="C39" s="47"/>
      <c r="D39" s="43">
        <v>37389577</v>
      </c>
      <c r="E39" s="42">
        <v>37536677</v>
      </c>
      <c r="F39" s="42">
        <v>37505777</v>
      </c>
    </row>
    <row r="40" spans="1:6" ht="41.25" customHeight="1">
      <c r="A40" s="48"/>
      <c r="B40" s="49"/>
      <c r="C40" s="50" t="s">
        <v>62</v>
      </c>
      <c r="D40" s="51">
        <f>+D8+D25+D26+D33+D34+D35+D36+D37+D38+D39</f>
        <v>8448049426</v>
      </c>
      <c r="E40" s="52">
        <f>+E8+E25+E26+E33+E34+E35+E36+E37+E38+E39</f>
        <v>8996325162</v>
      </c>
      <c r="F40" s="52">
        <f>+F8+F25+F26+F33+F34+F35+F36+F37+F38+F39</f>
        <v>9503108938</v>
      </c>
    </row>
    <row r="41" spans="3:6" ht="15">
      <c r="C41" s="53"/>
      <c r="D41" s="54"/>
      <c r="E41" s="54"/>
      <c r="F41" s="54"/>
    </row>
    <row r="42" spans="4:6" ht="15">
      <c r="D42" s="54"/>
      <c r="E42" s="54"/>
      <c r="F42" s="54"/>
    </row>
    <row r="43" spans="4:6" ht="15">
      <c r="D43" s="54"/>
      <c r="E43" s="54"/>
      <c r="F43" s="54"/>
    </row>
    <row r="44" spans="4:6" ht="15">
      <c r="D44" s="54"/>
      <c r="E44" s="54"/>
      <c r="F44" s="54"/>
    </row>
    <row r="45" spans="4:6" ht="15">
      <c r="D45" s="54"/>
      <c r="E45" s="54"/>
      <c r="F45" s="54"/>
    </row>
    <row r="46" spans="4:6" ht="15">
      <c r="D46" s="54"/>
      <c r="E46" s="54"/>
      <c r="F46" s="54"/>
    </row>
    <row r="47" spans="4:6" ht="15">
      <c r="D47" s="54"/>
      <c r="E47" s="54"/>
      <c r="F47" s="54"/>
    </row>
    <row r="48" spans="4:6" ht="15">
      <c r="D48" s="54"/>
      <c r="E48" s="54"/>
      <c r="F48" s="54"/>
    </row>
    <row r="49" spans="4:6" ht="15">
      <c r="D49" s="54"/>
      <c r="E49" s="54"/>
      <c r="F49" s="54"/>
    </row>
    <row r="50" spans="4:6" ht="15">
      <c r="D50" s="54"/>
      <c r="E50" s="54"/>
      <c r="F50" s="54"/>
    </row>
  </sheetData>
  <mergeCells count="4">
    <mergeCell ref="A2:F2"/>
    <mergeCell ref="A3:F3"/>
    <mergeCell ref="A4:F4"/>
    <mergeCell ref="D6:F6"/>
  </mergeCells>
  <printOptions/>
  <pageMargins left="1.1811023622047245" right="0.5905511811023623" top="1.7716535433070868" bottom="1.062992125984252" header="0.5118110236220472" footer="0.5118110236220472"/>
  <pageSetup fitToHeight="1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showZeros="0" zoomScale="75" zoomScaleNormal="75" workbookViewId="0" topLeftCell="A1">
      <selection activeCell="E8" sqref="E8"/>
    </sheetView>
  </sheetViews>
  <sheetFormatPr defaultColWidth="11.421875" defaultRowHeight="12.75"/>
  <cols>
    <col min="1" max="1" width="46.7109375" style="55" customWidth="1"/>
    <col min="2" max="4" width="15.7109375" style="55" customWidth="1"/>
    <col min="5" max="16384" width="11.421875" style="55" customWidth="1"/>
  </cols>
  <sheetData>
    <row r="1" spans="2:4" ht="12.75">
      <c r="B1" s="56"/>
      <c r="C1" s="56"/>
      <c r="D1" s="57" t="s">
        <v>63</v>
      </c>
    </row>
    <row r="2" spans="1:4" ht="12.75">
      <c r="A2" s="408" t="s">
        <v>1</v>
      </c>
      <c r="B2" s="408"/>
      <c r="C2" s="408"/>
      <c r="D2" s="408"/>
    </row>
    <row r="3" spans="1:4" ht="12.75">
      <c r="A3" s="409" t="s">
        <v>2</v>
      </c>
      <c r="B3" s="409"/>
      <c r="C3" s="409"/>
      <c r="D3" s="409"/>
    </row>
    <row r="4" spans="1:4" ht="12.75">
      <c r="A4" s="409" t="s">
        <v>64</v>
      </c>
      <c r="B4" s="409"/>
      <c r="C4" s="409"/>
      <c r="D4" s="409"/>
    </row>
    <row r="5" spans="1:4" ht="27" customHeight="1">
      <c r="A5" s="58"/>
      <c r="B5" s="411"/>
      <c r="C5" s="411"/>
      <c r="D5" s="411"/>
    </row>
    <row r="6" spans="1:4" ht="12.75">
      <c r="A6" s="59" t="s">
        <v>65</v>
      </c>
      <c r="B6" s="60">
        <v>2007</v>
      </c>
      <c r="C6" s="60">
        <v>2008</v>
      </c>
      <c r="D6" s="60">
        <v>2009</v>
      </c>
    </row>
    <row r="7" spans="1:4" ht="9.75" customHeight="1">
      <c r="A7" s="61"/>
      <c r="B7" s="62"/>
      <c r="C7" s="62"/>
      <c r="D7" s="62"/>
    </row>
    <row r="8" spans="1:4" ht="19.5" customHeight="1">
      <c r="A8" s="63" t="s">
        <v>66</v>
      </c>
      <c r="B8" s="64">
        <f>B9+B13+B14+B18+B19+B23</f>
        <v>8112470087</v>
      </c>
      <c r="C8" s="65">
        <f>C9+C13+C14+C18+C19+C23</f>
        <v>8613175354</v>
      </c>
      <c r="D8" s="65">
        <f>D9+D13+D14+D18+D19+D23</f>
        <v>9114990030</v>
      </c>
    </row>
    <row r="9" spans="1:4" ht="18" customHeight="1">
      <c r="A9" s="66" t="s">
        <v>91</v>
      </c>
      <c r="B9" s="67">
        <f>SUM(B10:B12)</f>
        <v>6308211580</v>
      </c>
      <c r="C9" s="68">
        <f>SUM(C10:C12)</f>
        <v>6792269260</v>
      </c>
      <c r="D9" s="68">
        <f>SUM(D10:D12)</f>
        <v>7243728990</v>
      </c>
    </row>
    <row r="10" spans="1:4" ht="12.75">
      <c r="A10" s="69" t="s">
        <v>67</v>
      </c>
      <c r="B10" s="67">
        <v>303310420</v>
      </c>
      <c r="C10" s="68">
        <v>312683570</v>
      </c>
      <c r="D10" s="68">
        <v>322987990</v>
      </c>
    </row>
    <row r="11" spans="1:4" ht="12.75">
      <c r="A11" s="69" t="s">
        <v>68</v>
      </c>
      <c r="B11" s="67">
        <v>1769072475</v>
      </c>
      <c r="C11" s="68">
        <v>1908397005</v>
      </c>
      <c r="D11" s="68">
        <v>2042642315</v>
      </c>
    </row>
    <row r="12" spans="1:4" ht="12.75">
      <c r="A12" s="69" t="s">
        <v>69</v>
      </c>
      <c r="B12" s="67">
        <v>4235828685</v>
      </c>
      <c r="C12" s="68">
        <v>4571188685</v>
      </c>
      <c r="D12" s="68">
        <v>4878098685</v>
      </c>
    </row>
    <row r="13" spans="1:4" ht="12.75">
      <c r="A13" s="69" t="s">
        <v>70</v>
      </c>
      <c r="B13" s="67">
        <v>1100489624</v>
      </c>
      <c r="C13" s="68">
        <f>1154310099+10000000</f>
        <v>1164310099</v>
      </c>
      <c r="D13" s="68">
        <f>1194998377+10000000</f>
        <v>1204998377</v>
      </c>
    </row>
    <row r="14" spans="1:4" ht="12.75">
      <c r="A14" s="69" t="s">
        <v>71</v>
      </c>
      <c r="B14" s="67">
        <f>SUM(B15:B17)</f>
        <v>246010408</v>
      </c>
      <c r="C14" s="68">
        <f>SUM(C15:C17)</f>
        <v>195566019</v>
      </c>
      <c r="D14" s="68">
        <f>SUM(D15:D17)</f>
        <v>202817596</v>
      </c>
    </row>
    <row r="15" spans="1:4" ht="12.75">
      <c r="A15" s="69" t="s">
        <v>72</v>
      </c>
      <c r="B15" s="67">
        <v>15326045</v>
      </c>
      <c r="C15" s="68">
        <v>15326045</v>
      </c>
      <c r="D15" s="68">
        <v>15326045</v>
      </c>
    </row>
    <row r="16" spans="1:4" ht="12.75">
      <c r="A16" s="69" t="s">
        <v>73</v>
      </c>
      <c r="B16" s="67">
        <v>5834675</v>
      </c>
      <c r="C16" s="68">
        <v>5934675</v>
      </c>
      <c r="D16" s="68">
        <v>6018185</v>
      </c>
    </row>
    <row r="17" spans="1:4" ht="12.75">
      <c r="A17" s="69" t="s">
        <v>74</v>
      </c>
      <c r="B17" s="67">
        <v>224849688</v>
      </c>
      <c r="C17" s="68">
        <v>174305299</v>
      </c>
      <c r="D17" s="68">
        <v>181473366</v>
      </c>
    </row>
    <row r="18" spans="1:4" ht="12.75">
      <c r="A18" s="69" t="s">
        <v>75</v>
      </c>
      <c r="B18" s="67">
        <v>77772338</v>
      </c>
      <c r="C18" s="68">
        <v>77966838</v>
      </c>
      <c r="D18" s="68">
        <v>78113880</v>
      </c>
    </row>
    <row r="19" spans="1:4" ht="12.75">
      <c r="A19" s="69" t="s">
        <v>76</v>
      </c>
      <c r="B19" s="67">
        <f>SUM(B20:B22)</f>
        <v>66747331</v>
      </c>
      <c r="C19" s="68">
        <f>SUM(C20:C22)</f>
        <v>69848082</v>
      </c>
      <c r="D19" s="68">
        <f>SUM(D20:D22)</f>
        <v>72116131</v>
      </c>
    </row>
    <row r="20" spans="1:4" ht="12.75">
      <c r="A20" s="69" t="s">
        <v>77</v>
      </c>
      <c r="B20" s="67">
        <v>66497331</v>
      </c>
      <c r="C20" s="68">
        <v>69597331</v>
      </c>
      <c r="D20" s="68">
        <v>71865331</v>
      </c>
    </row>
    <row r="21" spans="1:4" ht="12.75">
      <c r="A21" s="69" t="s">
        <v>78</v>
      </c>
      <c r="B21" s="67">
        <v>100000</v>
      </c>
      <c r="C21" s="68">
        <v>100751</v>
      </c>
      <c r="D21" s="68">
        <v>100800</v>
      </c>
    </row>
    <row r="22" spans="1:4" ht="12.75">
      <c r="A22" s="69" t="s">
        <v>79</v>
      </c>
      <c r="B22" s="67">
        <v>150000</v>
      </c>
      <c r="C22" s="68">
        <v>150000</v>
      </c>
      <c r="D22" s="68">
        <v>150000</v>
      </c>
    </row>
    <row r="23" spans="1:4" ht="12" customHeight="1">
      <c r="A23" s="69" t="s">
        <v>80</v>
      </c>
      <c r="B23" s="67">
        <f>+B24</f>
        <v>313238806</v>
      </c>
      <c r="C23" s="68">
        <f>+C24</f>
        <v>313215056</v>
      </c>
      <c r="D23" s="68">
        <f>+D24</f>
        <v>313215056</v>
      </c>
    </row>
    <row r="24" spans="1:4" ht="12" customHeight="1">
      <c r="A24" s="69" t="s">
        <v>81</v>
      </c>
      <c r="B24" s="67">
        <v>313238806</v>
      </c>
      <c r="C24" s="68">
        <v>313215056</v>
      </c>
      <c r="D24" s="68">
        <v>313215056</v>
      </c>
    </row>
    <row r="25" spans="1:4" ht="21" customHeight="1">
      <c r="A25" s="63" t="s">
        <v>82</v>
      </c>
      <c r="B25" s="64">
        <f>+B26+B28+B31</f>
        <v>335579339</v>
      </c>
      <c r="C25" s="65">
        <f>+C26+C28+C31</f>
        <v>383149808</v>
      </c>
      <c r="D25" s="65">
        <f>+D26+D28+D31</f>
        <v>388118908</v>
      </c>
    </row>
    <row r="26" spans="1:4" ht="12.75">
      <c r="A26" s="69" t="s">
        <v>83</v>
      </c>
      <c r="B26" s="67">
        <f>+B27</f>
        <v>178000</v>
      </c>
      <c r="C26" s="68">
        <f>+C27</f>
        <v>178000</v>
      </c>
      <c r="D26" s="68">
        <f>+D27</f>
        <v>178000</v>
      </c>
    </row>
    <row r="27" spans="1:4" ht="12.75">
      <c r="A27" s="69" t="s">
        <v>84</v>
      </c>
      <c r="B27" s="67">
        <v>178000</v>
      </c>
      <c r="C27" s="68">
        <v>178000</v>
      </c>
      <c r="D27" s="68">
        <v>178000</v>
      </c>
    </row>
    <row r="28" spans="1:4" ht="12.75">
      <c r="A28" s="69" t="s">
        <v>85</v>
      </c>
      <c r="B28" s="67">
        <f>B29+B30</f>
        <v>296961762</v>
      </c>
      <c r="C28" s="68">
        <f>+C30</f>
        <v>344385131</v>
      </c>
      <c r="D28" s="68">
        <f>+D30</f>
        <v>349385131</v>
      </c>
    </row>
    <row r="29" spans="1:4" ht="12.75">
      <c r="A29" s="69" t="s">
        <v>86</v>
      </c>
      <c r="B29" s="67">
        <v>527631</v>
      </c>
      <c r="C29" s="68"/>
      <c r="D29" s="68"/>
    </row>
    <row r="30" spans="1:4" ht="12.75">
      <c r="A30" s="69" t="s">
        <v>87</v>
      </c>
      <c r="B30" s="67">
        <v>296434131</v>
      </c>
      <c r="C30" s="68">
        <v>344385131</v>
      </c>
      <c r="D30" s="68">
        <v>349385131</v>
      </c>
    </row>
    <row r="31" spans="1:4" ht="12.75">
      <c r="A31" s="69" t="s">
        <v>88</v>
      </c>
      <c r="B31" s="67">
        <f>SUM(B32:B33)</f>
        <v>38439577</v>
      </c>
      <c r="C31" s="68">
        <f>SUM(C32:C33)</f>
        <v>38586677</v>
      </c>
      <c r="D31" s="68">
        <f>SUM(D32:D33)</f>
        <v>38555777</v>
      </c>
    </row>
    <row r="32" spans="1:4" ht="12.75">
      <c r="A32" s="69" t="s">
        <v>89</v>
      </c>
      <c r="B32" s="67">
        <v>1050000</v>
      </c>
      <c r="C32" s="68">
        <v>1050000</v>
      </c>
      <c r="D32" s="68">
        <v>1050000</v>
      </c>
    </row>
    <row r="33" spans="1:4" ht="15" customHeight="1">
      <c r="A33" s="69" t="s">
        <v>90</v>
      </c>
      <c r="B33" s="67">
        <v>37389577</v>
      </c>
      <c r="C33" s="68">
        <v>37536677</v>
      </c>
      <c r="D33" s="68">
        <v>37505777</v>
      </c>
    </row>
    <row r="34" spans="1:4" ht="12.75">
      <c r="A34" s="69"/>
      <c r="B34" s="67"/>
      <c r="C34" s="68"/>
      <c r="D34" s="68"/>
    </row>
    <row r="35" spans="1:4" ht="12.75">
      <c r="A35" s="70" t="s">
        <v>62</v>
      </c>
      <c r="B35" s="64">
        <f>+B8+B25</f>
        <v>8448049426</v>
      </c>
      <c r="C35" s="64">
        <f>+C8+C25</f>
        <v>8996325162</v>
      </c>
      <c r="D35" s="64">
        <f>+D8+D25</f>
        <v>9503108938</v>
      </c>
    </row>
    <row r="36" spans="1:4" ht="12.75">
      <c r="A36" s="71"/>
      <c r="B36" s="72"/>
      <c r="C36" s="73"/>
      <c r="D36" s="73"/>
    </row>
  </sheetData>
  <mergeCells count="4">
    <mergeCell ref="A2:D2"/>
    <mergeCell ref="A3:D3"/>
    <mergeCell ref="A4:D4"/>
    <mergeCell ref="B5:D5"/>
  </mergeCells>
  <printOptions/>
  <pageMargins left="1.1811023622047245" right="0.5905511811023623" top="1.7716535433070868" bottom="1.062992125984252" header="0.5118110236220472" footer="0.5118110236220472"/>
  <pageSetup fitToHeight="1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6"/>
  <sheetViews>
    <sheetView showGridLines="0" showZeros="0" zoomScale="75" zoomScaleNormal="75" workbookViewId="0" topLeftCell="A1">
      <selection activeCell="E14" sqref="E14"/>
    </sheetView>
  </sheetViews>
  <sheetFormatPr defaultColWidth="11.421875" defaultRowHeight="12.75"/>
  <cols>
    <col min="1" max="1" width="61.7109375" style="74" customWidth="1"/>
    <col min="2" max="2" width="20.421875" style="74" hidden="1" customWidth="1"/>
    <col min="3" max="3" width="17.28125" style="74" customWidth="1"/>
    <col min="4" max="4" width="14.140625" style="74" customWidth="1"/>
    <col min="5" max="5" width="14.00390625" style="74" customWidth="1"/>
    <col min="6" max="16384" width="11.421875" style="74" customWidth="1"/>
  </cols>
  <sheetData>
    <row r="2" ht="12">
      <c r="E2" s="75" t="s">
        <v>92</v>
      </c>
    </row>
    <row r="4" ht="11.25">
      <c r="A4" s="76"/>
    </row>
    <row r="5" spans="1:5" ht="12.75">
      <c r="A5" s="414" t="s">
        <v>1</v>
      </c>
      <c r="B5" s="414"/>
      <c r="C5" s="414"/>
      <c r="D5" s="414"/>
      <c r="E5" s="414"/>
    </row>
    <row r="6" spans="1:5" s="75" customFormat="1" ht="12" customHeight="1">
      <c r="A6" s="415" t="s">
        <v>2</v>
      </c>
      <c r="B6" s="415"/>
      <c r="C6" s="415"/>
      <c r="D6" s="415"/>
      <c r="E6" s="415"/>
    </row>
    <row r="7" spans="1:5" s="75" customFormat="1" ht="12">
      <c r="A7" s="415" t="s">
        <v>93</v>
      </c>
      <c r="B7" s="415"/>
      <c r="C7" s="415"/>
      <c r="D7" s="415"/>
      <c r="E7" s="415"/>
    </row>
    <row r="9" spans="3:5" ht="13.5" thickBot="1">
      <c r="C9" s="416"/>
      <c r="D9" s="416"/>
      <c r="E9" s="416"/>
    </row>
    <row r="10" spans="1:5" s="79" customFormat="1" ht="33.75" customHeight="1" thickBot="1">
      <c r="A10" s="77" t="s">
        <v>4</v>
      </c>
      <c r="B10" s="78"/>
      <c r="C10" s="77">
        <v>2007</v>
      </c>
      <c r="D10" s="77">
        <v>2008</v>
      </c>
      <c r="E10" s="77">
        <v>2009</v>
      </c>
    </row>
    <row r="11" spans="1:5" ht="11.25">
      <c r="A11" s="80"/>
      <c r="B11" s="81"/>
      <c r="C11" s="82"/>
      <c r="D11" s="82"/>
      <c r="E11" s="82"/>
    </row>
    <row r="12" spans="1:5" ht="12" customHeight="1">
      <c r="A12" s="83" t="s">
        <v>94</v>
      </c>
      <c r="B12" s="84"/>
      <c r="C12" s="85">
        <f>+C13+C14</f>
        <v>3602020173</v>
      </c>
      <c r="D12" s="85">
        <f>+D13+D14</f>
        <v>3767536290</v>
      </c>
      <c r="E12" s="85">
        <f>+E13+E14</f>
        <v>3962410066</v>
      </c>
    </row>
    <row r="13" spans="1:5" ht="12" customHeight="1">
      <c r="A13" s="86" t="s">
        <v>95</v>
      </c>
      <c r="B13" s="87">
        <v>11000</v>
      </c>
      <c r="C13" s="88">
        <v>3373807083</v>
      </c>
      <c r="D13" s="88">
        <v>3497467100</v>
      </c>
      <c r="E13" s="88">
        <v>3690474776</v>
      </c>
    </row>
    <row r="14" spans="1:5" ht="12" customHeight="1">
      <c r="A14" s="86" t="s">
        <v>96</v>
      </c>
      <c r="B14" s="87">
        <v>12000</v>
      </c>
      <c r="C14" s="88">
        <v>228213090</v>
      </c>
      <c r="D14" s="88">
        <v>270069190</v>
      </c>
      <c r="E14" s="88">
        <v>271935290</v>
      </c>
    </row>
    <row r="15" spans="1:5" ht="11.25">
      <c r="A15" s="86"/>
      <c r="B15" s="87"/>
      <c r="C15" s="88"/>
      <c r="D15" s="88"/>
      <c r="E15" s="88"/>
    </row>
    <row r="16" spans="1:5" ht="12" customHeight="1">
      <c r="A16" s="83" t="s">
        <v>97</v>
      </c>
      <c r="B16" s="87"/>
      <c r="C16" s="85">
        <f>C17+C59</f>
        <v>4845284122</v>
      </c>
      <c r="D16" s="85">
        <f>D17+D59</f>
        <v>5228571372</v>
      </c>
      <c r="E16" s="85">
        <f>E17+E59</f>
        <v>5540481372</v>
      </c>
    </row>
    <row r="17" spans="1:5" ht="12" customHeight="1">
      <c r="A17" s="83" t="s">
        <v>95</v>
      </c>
      <c r="B17" s="87"/>
      <c r="C17" s="85">
        <f>SUM(C18:C24)+C28+C33+C36+C37+C38</f>
        <v>4198971021</v>
      </c>
      <c r="D17" s="85">
        <f>SUM(D18:D24)+D28+D33+D36+D37+D38</f>
        <v>4418411021</v>
      </c>
      <c r="E17" s="85">
        <f>SUM(E18:E24)+E28+E33+E36+E37+E38</f>
        <v>4596291021</v>
      </c>
    </row>
    <row r="18" spans="1:5" ht="12" customHeight="1">
      <c r="A18" s="86" t="s">
        <v>98</v>
      </c>
      <c r="B18" s="87">
        <v>21010</v>
      </c>
      <c r="C18" s="89">
        <v>2891116500</v>
      </c>
      <c r="D18" s="88">
        <v>3049726500</v>
      </c>
      <c r="E18" s="88">
        <v>3169886500</v>
      </c>
    </row>
    <row r="19" spans="1:5" ht="12" customHeight="1">
      <c r="A19" s="86" t="s">
        <v>99</v>
      </c>
      <c r="B19" s="87"/>
      <c r="C19" s="89">
        <v>9500000</v>
      </c>
      <c r="D19" s="88">
        <v>9500000</v>
      </c>
      <c r="E19" s="88">
        <v>9500000</v>
      </c>
    </row>
    <row r="20" spans="1:5" ht="12" customHeight="1">
      <c r="A20" s="90" t="s">
        <v>100</v>
      </c>
      <c r="B20" s="87"/>
      <c r="C20" s="89">
        <v>993500</v>
      </c>
      <c r="D20" s="88">
        <v>993500</v>
      </c>
      <c r="E20" s="88">
        <v>993500</v>
      </c>
    </row>
    <row r="21" spans="1:5" ht="12" customHeight="1">
      <c r="A21" s="91" t="s">
        <v>101</v>
      </c>
      <c r="B21" s="87"/>
      <c r="C21" s="89">
        <v>6000000</v>
      </c>
      <c r="D21" s="88">
        <v>6000000</v>
      </c>
      <c r="E21" s="88">
        <v>6000000</v>
      </c>
    </row>
    <row r="22" spans="1:5" ht="12" customHeight="1" hidden="1">
      <c r="A22" s="86" t="s">
        <v>102</v>
      </c>
      <c r="B22" s="87"/>
      <c r="C22" s="89"/>
      <c r="D22" s="88"/>
      <c r="E22" s="88"/>
    </row>
    <row r="23" spans="1:5" ht="12" customHeight="1" hidden="1">
      <c r="A23" s="86" t="s">
        <v>103</v>
      </c>
      <c r="B23" s="87"/>
      <c r="C23" s="89"/>
      <c r="D23" s="88"/>
      <c r="E23" s="88"/>
    </row>
    <row r="24" spans="1:5" ht="12" customHeight="1">
      <c r="A24" s="92" t="s">
        <v>104</v>
      </c>
      <c r="B24" s="87"/>
      <c r="C24" s="89">
        <f>+C25+C26+C27</f>
        <v>135490040</v>
      </c>
      <c r="D24" s="89">
        <f>+D25+D26+D27</f>
        <v>135490040</v>
      </c>
      <c r="E24" s="89">
        <f>+E25+E26+E27</f>
        <v>135490040</v>
      </c>
    </row>
    <row r="25" spans="1:5" ht="12" customHeight="1">
      <c r="A25" s="92" t="s">
        <v>105</v>
      </c>
      <c r="B25" s="87"/>
      <c r="C25" s="89">
        <v>119400000</v>
      </c>
      <c r="D25" s="88">
        <v>119400000</v>
      </c>
      <c r="E25" s="88">
        <v>119400000</v>
      </c>
    </row>
    <row r="26" spans="1:5" ht="12" customHeight="1">
      <c r="A26" s="92" t="s">
        <v>106</v>
      </c>
      <c r="B26" s="87"/>
      <c r="C26" s="89">
        <v>5240020</v>
      </c>
      <c r="D26" s="88">
        <v>5240020</v>
      </c>
      <c r="E26" s="88">
        <v>5240020</v>
      </c>
    </row>
    <row r="27" spans="1:5" ht="12" customHeight="1">
      <c r="A27" s="92" t="s">
        <v>107</v>
      </c>
      <c r="B27" s="87"/>
      <c r="C27" s="89">
        <v>10850020</v>
      </c>
      <c r="D27" s="88">
        <v>10850020</v>
      </c>
      <c r="E27" s="88">
        <v>10850020</v>
      </c>
    </row>
    <row r="28" spans="1:5" ht="12" customHeight="1">
      <c r="A28" s="92" t="s">
        <v>108</v>
      </c>
      <c r="B28" s="87"/>
      <c r="C28" s="89">
        <f>+C29+C30+C31+C32</f>
        <v>111230000</v>
      </c>
      <c r="D28" s="89">
        <f>+D29+D30+D31+D32</f>
        <v>112270000</v>
      </c>
      <c r="E28" s="89">
        <f>+E29+E30+E31+E32</f>
        <v>115620000</v>
      </c>
    </row>
    <row r="29" spans="1:5" ht="12" customHeight="1">
      <c r="A29" s="92" t="s">
        <v>109</v>
      </c>
      <c r="B29" s="87"/>
      <c r="C29" s="89">
        <v>13040000</v>
      </c>
      <c r="D29" s="88">
        <v>13050000</v>
      </c>
      <c r="E29" s="88">
        <v>13970000</v>
      </c>
    </row>
    <row r="30" spans="1:5" ht="12" customHeight="1">
      <c r="A30" s="92" t="s">
        <v>110</v>
      </c>
      <c r="B30" s="87"/>
      <c r="C30" s="89">
        <v>30000000</v>
      </c>
      <c r="D30" s="88">
        <v>30000000</v>
      </c>
      <c r="E30" s="88">
        <v>30000000</v>
      </c>
    </row>
    <row r="31" spans="1:5" ht="12" customHeight="1">
      <c r="A31" s="92" t="s">
        <v>111</v>
      </c>
      <c r="B31" s="87"/>
      <c r="C31" s="89">
        <v>41020000</v>
      </c>
      <c r="D31" s="88">
        <v>41640000</v>
      </c>
      <c r="E31" s="88">
        <v>43100000</v>
      </c>
    </row>
    <row r="32" spans="1:5" ht="12" customHeight="1">
      <c r="A32" s="92" t="s">
        <v>112</v>
      </c>
      <c r="B32" s="87"/>
      <c r="C32" s="89">
        <v>27170000</v>
      </c>
      <c r="D32" s="88">
        <v>27580000</v>
      </c>
      <c r="E32" s="88">
        <v>28550000</v>
      </c>
    </row>
    <row r="33" spans="1:5" ht="12" customHeight="1">
      <c r="A33" s="92" t="s">
        <v>113</v>
      </c>
      <c r="B33" s="87"/>
      <c r="C33" s="89">
        <f>+C34+C35</f>
        <v>497600000</v>
      </c>
      <c r="D33" s="88">
        <f>+D34+D35</f>
        <v>547920000</v>
      </c>
      <c r="E33" s="88">
        <f>+E34+E35</f>
        <v>593490000</v>
      </c>
    </row>
    <row r="34" spans="1:5" ht="12" customHeight="1">
      <c r="A34" s="92" t="s">
        <v>114</v>
      </c>
      <c r="B34" s="87"/>
      <c r="C34" s="89">
        <v>161010000</v>
      </c>
      <c r="D34" s="88">
        <v>175200000</v>
      </c>
      <c r="E34" s="88">
        <v>188050000</v>
      </c>
    </row>
    <row r="35" spans="1:5" ht="12" customHeight="1">
      <c r="A35" s="92" t="s">
        <v>115</v>
      </c>
      <c r="B35" s="87"/>
      <c r="C35" s="89">
        <v>336590000</v>
      </c>
      <c r="D35" s="88">
        <v>372720000</v>
      </c>
      <c r="E35" s="88">
        <v>405440000</v>
      </c>
    </row>
    <row r="36" spans="1:5" ht="12" customHeight="1">
      <c r="A36" s="92" t="s">
        <v>116</v>
      </c>
      <c r="B36" s="87">
        <v>21090</v>
      </c>
      <c r="C36" s="89">
        <f>239185945-9500000-993500</f>
        <v>228692445</v>
      </c>
      <c r="D36" s="89">
        <f>248655945-9500000-993500</f>
        <v>238162445</v>
      </c>
      <c r="E36" s="89">
        <f>257455945-9500000-993500</f>
        <v>246962445</v>
      </c>
    </row>
    <row r="37" spans="1:5" ht="12" customHeight="1">
      <c r="A37" s="92" t="s">
        <v>117</v>
      </c>
      <c r="B37" s="87"/>
      <c r="C37" s="89">
        <v>138707336</v>
      </c>
      <c r="D37" s="88">
        <v>138707336</v>
      </c>
      <c r="E37" s="88">
        <v>138707336</v>
      </c>
    </row>
    <row r="38" spans="1:5" ht="12" customHeight="1">
      <c r="A38" s="93" t="s">
        <v>118</v>
      </c>
      <c r="B38" s="94"/>
      <c r="C38" s="89">
        <v>179641200</v>
      </c>
      <c r="D38" s="89">
        <v>179641200</v>
      </c>
      <c r="E38" s="89">
        <v>179641200</v>
      </c>
    </row>
    <row r="39" spans="1:5" ht="12" hidden="1">
      <c r="A39" s="83" t="s">
        <v>119</v>
      </c>
      <c r="B39" s="87"/>
      <c r="C39" s="95">
        <f>SUM(C40:C46)</f>
        <v>0</v>
      </c>
      <c r="D39" s="85">
        <f>SUM(D40:D46)</f>
        <v>0</v>
      </c>
      <c r="E39" s="85">
        <f>SUM(E40:E46)</f>
        <v>0</v>
      </c>
    </row>
    <row r="40" spans="1:5" ht="11.25" hidden="1">
      <c r="A40" s="86" t="s">
        <v>120</v>
      </c>
      <c r="B40" s="87"/>
      <c r="C40" s="89"/>
      <c r="D40" s="88"/>
      <c r="E40" s="88"/>
    </row>
    <row r="41" spans="1:5" ht="11.25" hidden="1">
      <c r="A41" s="86" t="s">
        <v>121</v>
      </c>
      <c r="B41" s="87"/>
      <c r="C41" s="89"/>
      <c r="D41" s="88"/>
      <c r="E41" s="88"/>
    </row>
    <row r="42" spans="1:5" ht="11.25" hidden="1">
      <c r="A42" s="92" t="s">
        <v>122</v>
      </c>
      <c r="B42" s="87"/>
      <c r="C42" s="89"/>
      <c r="D42" s="88"/>
      <c r="E42" s="88"/>
    </row>
    <row r="43" spans="1:5" ht="11.25" hidden="1">
      <c r="A43" s="86" t="s">
        <v>123</v>
      </c>
      <c r="B43" s="87"/>
      <c r="C43" s="89"/>
      <c r="D43" s="88"/>
      <c r="E43" s="88"/>
    </row>
    <row r="44" spans="1:5" ht="11.25" hidden="1">
      <c r="A44" s="96" t="s">
        <v>124</v>
      </c>
      <c r="B44" s="87"/>
      <c r="C44" s="89"/>
      <c r="D44" s="88"/>
      <c r="E44" s="88"/>
    </row>
    <row r="45" spans="1:5" ht="11.25" hidden="1">
      <c r="A45" s="92" t="s">
        <v>125</v>
      </c>
      <c r="B45" s="87"/>
      <c r="C45" s="89"/>
      <c r="D45" s="88"/>
      <c r="E45" s="88"/>
    </row>
    <row r="46" spans="1:5" ht="11.25" hidden="1">
      <c r="A46" s="86" t="s">
        <v>126</v>
      </c>
      <c r="B46" s="87"/>
      <c r="C46" s="89"/>
      <c r="D46" s="88"/>
      <c r="E46" s="88"/>
    </row>
    <row r="47" spans="1:5" ht="19.5" customHeight="1" hidden="1">
      <c r="A47" s="83" t="s">
        <v>127</v>
      </c>
      <c r="B47" s="87"/>
      <c r="C47" s="89">
        <f>SUM(C48:C56)</f>
        <v>0</v>
      </c>
      <c r="D47" s="88">
        <f>SUM(D48:D56)</f>
        <v>0</v>
      </c>
      <c r="E47" s="88">
        <f>SUM(E48:E56)</f>
        <v>0</v>
      </c>
    </row>
    <row r="48" spans="1:5" ht="11.25" hidden="1">
      <c r="A48" s="86" t="s">
        <v>128</v>
      </c>
      <c r="B48" s="87"/>
      <c r="C48" s="89"/>
      <c r="D48" s="88"/>
      <c r="E48" s="88"/>
    </row>
    <row r="49" spans="1:5" ht="11.25" hidden="1">
      <c r="A49" s="86" t="s">
        <v>129</v>
      </c>
      <c r="B49" s="87"/>
      <c r="C49" s="89"/>
      <c r="D49" s="88"/>
      <c r="E49" s="88"/>
    </row>
    <row r="50" spans="1:5" ht="11.25" hidden="1">
      <c r="A50" s="86" t="s">
        <v>130</v>
      </c>
      <c r="B50" s="87"/>
      <c r="C50" s="89"/>
      <c r="D50" s="88"/>
      <c r="E50" s="88"/>
    </row>
    <row r="51" spans="1:5" ht="11.25" hidden="1">
      <c r="A51" s="86" t="s">
        <v>131</v>
      </c>
      <c r="B51" s="87"/>
      <c r="C51" s="89"/>
      <c r="D51" s="88"/>
      <c r="E51" s="88"/>
    </row>
    <row r="52" spans="1:5" ht="11.25" hidden="1">
      <c r="A52" s="86" t="s">
        <v>132</v>
      </c>
      <c r="B52" s="87"/>
      <c r="C52" s="89"/>
      <c r="D52" s="88"/>
      <c r="E52" s="88"/>
    </row>
    <row r="53" spans="1:5" ht="11.25" hidden="1">
      <c r="A53" s="86" t="s">
        <v>133</v>
      </c>
      <c r="B53" s="87"/>
      <c r="C53" s="89"/>
      <c r="D53" s="88"/>
      <c r="E53" s="88"/>
    </row>
    <row r="54" spans="1:5" ht="11.25" hidden="1">
      <c r="A54" s="86" t="s">
        <v>134</v>
      </c>
      <c r="B54" s="87"/>
      <c r="C54" s="89"/>
      <c r="D54" s="88"/>
      <c r="E54" s="88"/>
    </row>
    <row r="55" spans="1:5" ht="11.25" hidden="1">
      <c r="A55" s="86" t="s">
        <v>135</v>
      </c>
      <c r="B55" s="87"/>
      <c r="C55" s="89"/>
      <c r="D55" s="88"/>
      <c r="E55" s="88"/>
    </row>
    <row r="56" spans="1:5" ht="11.25" hidden="1">
      <c r="A56" s="86" t="s">
        <v>136</v>
      </c>
      <c r="B56" s="87"/>
      <c r="C56" s="89"/>
      <c r="D56" s="88"/>
      <c r="E56" s="88"/>
    </row>
    <row r="57" spans="1:5" ht="11.25" hidden="1">
      <c r="A57" s="86"/>
      <c r="B57" s="87"/>
      <c r="C57" s="89"/>
      <c r="D57" s="88"/>
      <c r="E57" s="88"/>
    </row>
    <row r="58" spans="1:5" ht="11.25" hidden="1">
      <c r="A58" s="86"/>
      <c r="B58" s="87"/>
      <c r="C58" s="89"/>
      <c r="D58" s="88"/>
      <c r="E58" s="88"/>
    </row>
    <row r="59" spans="1:5" ht="14.25" customHeight="1">
      <c r="A59" s="83" t="s">
        <v>96</v>
      </c>
      <c r="B59" s="87"/>
      <c r="C59" s="95">
        <f>SUM(C60:C72)</f>
        <v>646313101</v>
      </c>
      <c r="D59" s="95">
        <f>SUM(D60:D72)</f>
        <v>810160351</v>
      </c>
      <c r="E59" s="95">
        <f>SUM(E60:E72)</f>
        <v>944190351</v>
      </c>
    </row>
    <row r="60" spans="1:5" ht="11.25" hidden="1">
      <c r="A60" s="86" t="s">
        <v>137</v>
      </c>
      <c r="B60" s="87">
        <v>22030</v>
      </c>
      <c r="C60" s="89"/>
      <c r="D60" s="88"/>
      <c r="E60" s="88"/>
    </row>
    <row r="61" spans="1:5" ht="11.25" hidden="1">
      <c r="A61" s="96" t="s">
        <v>124</v>
      </c>
      <c r="B61" s="87">
        <v>22040</v>
      </c>
      <c r="C61" s="89">
        <f>-C44</f>
        <v>0</v>
      </c>
      <c r="D61" s="88">
        <f>-D44</f>
        <v>0</v>
      </c>
      <c r="E61" s="88">
        <f>-E44</f>
        <v>0</v>
      </c>
    </row>
    <row r="62" spans="1:5" ht="11.25" hidden="1">
      <c r="A62" s="86" t="s">
        <v>121</v>
      </c>
      <c r="B62" s="87">
        <v>22050</v>
      </c>
      <c r="C62" s="89">
        <f>-C41</f>
        <v>0</v>
      </c>
      <c r="D62" s="88">
        <f>-D41</f>
        <v>0</v>
      </c>
      <c r="E62" s="88">
        <f>-E41</f>
        <v>0</v>
      </c>
    </row>
    <row r="63" spans="1:5" ht="11.25" hidden="1">
      <c r="A63" s="96" t="s">
        <v>138</v>
      </c>
      <c r="B63" s="87">
        <v>22082</v>
      </c>
      <c r="C63" s="89"/>
      <c r="D63" s="88"/>
      <c r="E63" s="88"/>
    </row>
    <row r="64" spans="1:5" ht="11.25" hidden="1">
      <c r="A64" s="92" t="s">
        <v>139</v>
      </c>
      <c r="B64" s="87"/>
      <c r="C64" s="89"/>
      <c r="D64" s="88"/>
      <c r="E64" s="88"/>
    </row>
    <row r="65" spans="1:5" ht="11.25" hidden="1">
      <c r="A65" s="86" t="s">
        <v>140</v>
      </c>
      <c r="B65" s="87">
        <v>22091</v>
      </c>
      <c r="C65" s="89"/>
      <c r="D65" s="88"/>
      <c r="E65" s="88"/>
    </row>
    <row r="66" spans="1:5" ht="11.25" hidden="1">
      <c r="A66" s="92" t="s">
        <v>141</v>
      </c>
      <c r="B66" s="87">
        <v>22092</v>
      </c>
      <c r="C66" s="89"/>
      <c r="D66" s="88"/>
      <c r="E66" s="88"/>
    </row>
    <row r="67" spans="1:5" ht="11.25" hidden="1">
      <c r="A67" s="92" t="s">
        <v>142</v>
      </c>
      <c r="B67" s="87">
        <v>22093</v>
      </c>
      <c r="C67" s="89"/>
      <c r="D67" s="88"/>
      <c r="E67" s="88"/>
    </row>
    <row r="68" spans="1:5" ht="11.25" hidden="1">
      <c r="A68" s="92" t="s">
        <v>143</v>
      </c>
      <c r="B68" s="87"/>
      <c r="C68" s="89"/>
      <c r="D68" s="88"/>
      <c r="E68" s="88"/>
    </row>
    <row r="69" spans="1:5" ht="12" customHeight="1">
      <c r="A69" s="93" t="s">
        <v>144</v>
      </c>
      <c r="B69" s="97"/>
      <c r="C69" s="89">
        <v>106006544</v>
      </c>
      <c r="D69" s="89">
        <v>106006544</v>
      </c>
      <c r="E69" s="89">
        <v>106006544</v>
      </c>
    </row>
    <row r="70" spans="1:5" ht="12" customHeight="1">
      <c r="A70" s="91" t="s">
        <v>145</v>
      </c>
      <c r="B70" s="87">
        <v>22190</v>
      </c>
      <c r="C70" s="89">
        <v>175600000</v>
      </c>
      <c r="D70" s="88">
        <v>291520000</v>
      </c>
      <c r="E70" s="88">
        <v>420550000</v>
      </c>
    </row>
    <row r="71" spans="1:5" ht="12" customHeight="1">
      <c r="A71" s="91" t="s">
        <v>146</v>
      </c>
      <c r="B71" s="87"/>
      <c r="C71" s="89">
        <v>364706557</v>
      </c>
      <c r="D71" s="88">
        <v>412633807</v>
      </c>
      <c r="E71" s="88">
        <v>417633807</v>
      </c>
    </row>
    <row r="72" spans="1:5" ht="11.25">
      <c r="A72" s="86"/>
      <c r="B72" s="87"/>
      <c r="C72" s="89"/>
      <c r="D72" s="88"/>
      <c r="E72" s="88"/>
    </row>
    <row r="73" spans="1:5" ht="12">
      <c r="A73" s="83" t="s">
        <v>147</v>
      </c>
      <c r="B73" s="87"/>
      <c r="C73" s="95">
        <f>+C74+C75</f>
        <v>745131</v>
      </c>
      <c r="D73" s="95">
        <f>+D74+D75</f>
        <v>217500</v>
      </c>
      <c r="E73" s="95">
        <f>+E74+E75</f>
        <v>217500</v>
      </c>
    </row>
    <row r="74" spans="1:5" ht="12" customHeight="1">
      <c r="A74" s="86" t="s">
        <v>95</v>
      </c>
      <c r="B74" s="87"/>
      <c r="C74" s="89">
        <v>217500</v>
      </c>
      <c r="D74" s="88">
        <v>217500</v>
      </c>
      <c r="E74" s="88">
        <v>217500</v>
      </c>
    </row>
    <row r="75" spans="1:5" ht="12" customHeight="1">
      <c r="A75" s="86" t="s">
        <v>96</v>
      </c>
      <c r="B75" s="87"/>
      <c r="C75" s="89">
        <v>527631</v>
      </c>
      <c r="D75" s="88"/>
      <c r="E75" s="88"/>
    </row>
    <row r="76" spans="1:5" ht="11.25" hidden="1">
      <c r="A76" s="86"/>
      <c r="B76" s="87"/>
      <c r="C76" s="89"/>
      <c r="D76" s="88"/>
      <c r="E76" s="88"/>
    </row>
    <row r="77" spans="1:5" ht="12" hidden="1">
      <c r="A77" s="83"/>
      <c r="B77" s="87"/>
      <c r="C77" s="95"/>
      <c r="D77" s="95"/>
      <c r="E77" s="95"/>
    </row>
    <row r="78" spans="1:5" ht="12" customHeight="1" hidden="1">
      <c r="A78" s="86"/>
      <c r="B78" s="87"/>
      <c r="C78" s="88"/>
      <c r="D78" s="88"/>
      <c r="E78" s="88"/>
    </row>
    <row r="79" spans="1:5" ht="11.25">
      <c r="A79" s="86"/>
      <c r="B79" s="87"/>
      <c r="C79" s="98"/>
      <c r="D79" s="98"/>
      <c r="E79" s="98"/>
    </row>
    <row r="80" spans="1:5" ht="12">
      <c r="A80" s="99" t="s">
        <v>148</v>
      </c>
      <c r="B80" s="100"/>
      <c r="C80" s="101">
        <f>+C16+C12+C77+C73</f>
        <v>8448049426</v>
      </c>
      <c r="D80" s="101">
        <f>+D16+D12+D77+D73</f>
        <v>8996325162</v>
      </c>
      <c r="E80" s="101">
        <f>+E16+E12+E77+E73</f>
        <v>9503108938</v>
      </c>
    </row>
    <row r="81" spans="1:5" ht="12" thickBot="1">
      <c r="A81" s="102"/>
      <c r="B81" s="103"/>
      <c r="C81" s="104"/>
      <c r="D81" s="104"/>
      <c r="E81" s="104"/>
    </row>
    <row r="82" spans="1:2" ht="11.25">
      <c r="A82" s="105"/>
      <c r="B82" s="105"/>
    </row>
    <row r="83" spans="1:5" s="108" customFormat="1" ht="11.25">
      <c r="A83" s="106"/>
      <c r="B83" s="106"/>
      <c r="C83" s="107"/>
      <c r="D83" s="107"/>
      <c r="E83" s="106"/>
    </row>
    <row r="84" spans="1:4" ht="11.25">
      <c r="A84" s="109"/>
      <c r="B84" s="109"/>
      <c r="C84" s="107"/>
      <c r="D84" s="110"/>
    </row>
    <row r="85" spans="1:3" ht="11.25">
      <c r="A85" s="109"/>
      <c r="B85" s="109"/>
      <c r="C85" s="109"/>
    </row>
    <row r="86" spans="1:3" ht="11.25">
      <c r="A86" s="109"/>
      <c r="B86" s="109"/>
      <c r="C86" s="109"/>
    </row>
    <row r="87" spans="1:3" ht="11.25">
      <c r="A87" s="109"/>
      <c r="B87" s="109"/>
      <c r="C87" s="109"/>
    </row>
    <row r="88" spans="1:3" ht="11.25">
      <c r="A88" s="109"/>
      <c r="B88" s="109"/>
      <c r="C88" s="109"/>
    </row>
    <row r="89" spans="1:3" ht="11.25">
      <c r="A89" s="109"/>
      <c r="B89" s="109"/>
      <c r="C89" s="109"/>
    </row>
    <row r="90" spans="1:3" ht="11.25">
      <c r="A90" s="109"/>
      <c r="B90" s="109"/>
      <c r="C90" s="109"/>
    </row>
    <row r="91" spans="1:3" ht="11.25">
      <c r="A91" s="109"/>
      <c r="B91" s="109"/>
      <c r="C91" s="109"/>
    </row>
    <row r="92" spans="1:3" ht="11.25">
      <c r="A92" s="109"/>
      <c r="B92" s="109"/>
      <c r="C92" s="109"/>
    </row>
    <row r="93" spans="1:3" ht="11.25">
      <c r="A93" s="109"/>
      <c r="B93" s="109"/>
      <c r="C93" s="109"/>
    </row>
    <row r="94" spans="1:3" ht="11.25">
      <c r="A94" s="109"/>
      <c r="B94" s="109"/>
      <c r="C94" s="109"/>
    </row>
    <row r="95" spans="1:3" ht="11.25">
      <c r="A95" s="109"/>
      <c r="B95" s="109"/>
      <c r="C95" s="109"/>
    </row>
    <row r="96" spans="1:3" ht="11.25">
      <c r="A96" s="109"/>
      <c r="B96" s="109"/>
      <c r="C96" s="109"/>
    </row>
    <row r="97" spans="1:3" ht="11.25">
      <c r="A97" s="109"/>
      <c r="B97" s="109"/>
      <c r="C97" s="109"/>
    </row>
    <row r="98" spans="1:3" ht="11.25">
      <c r="A98" s="109"/>
      <c r="B98" s="109"/>
      <c r="C98" s="109"/>
    </row>
    <row r="99" spans="1:3" ht="11.25">
      <c r="A99" s="109"/>
      <c r="B99" s="109"/>
      <c r="C99" s="109"/>
    </row>
    <row r="100" spans="1:3" ht="11.25">
      <c r="A100" s="109"/>
      <c r="B100" s="109"/>
      <c r="C100" s="109"/>
    </row>
    <row r="101" spans="1:3" ht="11.25">
      <c r="A101" s="109"/>
      <c r="B101" s="109"/>
      <c r="C101" s="109"/>
    </row>
    <row r="102" spans="1:3" ht="11.25">
      <c r="A102" s="109"/>
      <c r="B102" s="109"/>
      <c r="C102" s="109"/>
    </row>
    <row r="103" spans="1:3" ht="11.25">
      <c r="A103" s="109"/>
      <c r="B103" s="109"/>
      <c r="C103" s="109"/>
    </row>
    <row r="104" spans="1:3" ht="11.25">
      <c r="A104" s="109"/>
      <c r="B104" s="109"/>
      <c r="C104" s="109"/>
    </row>
    <row r="105" spans="1:3" ht="11.25">
      <c r="A105" s="109"/>
      <c r="B105" s="109"/>
      <c r="C105" s="109"/>
    </row>
    <row r="106" spans="1:3" ht="11.25">
      <c r="A106" s="109"/>
      <c r="B106" s="109"/>
      <c r="C106" s="109"/>
    </row>
    <row r="107" spans="1:3" ht="11.25">
      <c r="A107" s="109"/>
      <c r="B107" s="109"/>
      <c r="C107" s="109"/>
    </row>
    <row r="108" spans="1:3" ht="11.25">
      <c r="A108" s="109"/>
      <c r="B108" s="109"/>
      <c r="C108" s="109"/>
    </row>
    <row r="109" spans="1:3" ht="11.25">
      <c r="A109" s="109"/>
      <c r="B109" s="109"/>
      <c r="C109" s="109"/>
    </row>
    <row r="110" spans="1:3" ht="11.25">
      <c r="A110" s="109"/>
      <c r="B110" s="109"/>
      <c r="C110" s="109"/>
    </row>
    <row r="111" spans="1:3" ht="11.25">
      <c r="A111" s="109"/>
      <c r="B111" s="109"/>
      <c r="C111" s="109"/>
    </row>
    <row r="112" spans="1:3" ht="11.25">
      <c r="A112" s="109"/>
      <c r="B112" s="109"/>
      <c r="C112" s="109"/>
    </row>
    <row r="113" spans="1:3" ht="11.25">
      <c r="A113" s="109"/>
      <c r="B113" s="109"/>
      <c r="C113" s="109"/>
    </row>
    <row r="114" spans="1:3" ht="11.25">
      <c r="A114" s="109"/>
      <c r="B114" s="109"/>
      <c r="C114" s="109"/>
    </row>
    <row r="115" spans="1:3" ht="11.25">
      <c r="A115" s="109"/>
      <c r="B115" s="109"/>
      <c r="C115" s="109"/>
    </row>
    <row r="116" spans="1:3" ht="11.25">
      <c r="A116" s="109"/>
      <c r="B116" s="109"/>
      <c r="C116" s="109"/>
    </row>
    <row r="117" spans="1:3" ht="11.25">
      <c r="A117" s="109"/>
      <c r="B117" s="109"/>
      <c r="C117" s="109"/>
    </row>
    <row r="118" spans="1:3" ht="11.25">
      <c r="A118" s="109"/>
      <c r="B118" s="109"/>
      <c r="C118" s="109"/>
    </row>
    <row r="119" spans="1:3" ht="11.25">
      <c r="A119" s="109"/>
      <c r="B119" s="109"/>
      <c r="C119" s="109"/>
    </row>
    <row r="120" spans="1:3" ht="11.25">
      <c r="A120" s="109"/>
      <c r="B120" s="109"/>
      <c r="C120" s="109"/>
    </row>
    <row r="121" spans="1:3" ht="11.25">
      <c r="A121" s="109"/>
      <c r="B121" s="109"/>
      <c r="C121" s="109"/>
    </row>
    <row r="122" spans="1:3" ht="11.25">
      <c r="A122" s="109"/>
      <c r="B122" s="109"/>
      <c r="C122" s="109"/>
    </row>
    <row r="123" spans="1:3" ht="11.25">
      <c r="A123" s="109"/>
      <c r="B123" s="109"/>
      <c r="C123" s="109"/>
    </row>
    <row r="124" spans="1:3" ht="11.25">
      <c r="A124" s="109"/>
      <c r="B124" s="109"/>
      <c r="C124" s="109"/>
    </row>
    <row r="125" spans="1:3" ht="11.25">
      <c r="A125" s="109"/>
      <c r="B125" s="109"/>
      <c r="C125" s="109"/>
    </row>
    <row r="126" spans="1:3" ht="11.25">
      <c r="A126" s="109"/>
      <c r="B126" s="109"/>
      <c r="C126" s="109"/>
    </row>
  </sheetData>
  <mergeCells count="4">
    <mergeCell ref="A5:E5"/>
    <mergeCell ref="A6:E6"/>
    <mergeCell ref="A7:E7"/>
    <mergeCell ref="C9:E9"/>
  </mergeCells>
  <printOptions/>
  <pageMargins left="1.1811023622047245" right="0.5905511811023623" top="1.7716535433070868" bottom="1.062992125984252" header="0.5118110236220472" footer="0.5118110236220472"/>
  <pageSetup fitToHeight="1" fitToWidth="1"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0"/>
  <sheetViews>
    <sheetView showGridLines="0" showZeros="0" zoomScale="75" zoomScaleNormal="75" workbookViewId="0" topLeftCell="A1">
      <selection activeCell="A3" sqref="A3:E3"/>
    </sheetView>
  </sheetViews>
  <sheetFormatPr defaultColWidth="11.421875" defaultRowHeight="12.75"/>
  <cols>
    <col min="1" max="1" width="58.7109375" style="113" customWidth="1"/>
    <col min="2" max="2" width="53.140625" style="113" customWidth="1"/>
    <col min="3" max="5" width="30.7109375" style="113" customWidth="1"/>
    <col min="6" max="16384" width="11.57421875" style="113" customWidth="1"/>
  </cols>
  <sheetData>
    <row r="1" spans="1:5" ht="17.25">
      <c r="A1" s="111"/>
      <c r="B1" s="111"/>
      <c r="C1" s="111"/>
      <c r="D1" s="111"/>
      <c r="E1" s="112" t="s">
        <v>149</v>
      </c>
    </row>
    <row r="3" spans="1:5" ht="17.25">
      <c r="A3" s="417" t="s">
        <v>150</v>
      </c>
      <c r="B3" s="417"/>
      <c r="C3" s="417"/>
      <c r="D3" s="417"/>
      <c r="E3" s="417"/>
    </row>
    <row r="4" spans="1:5" ht="17.25">
      <c r="A4" s="417" t="s">
        <v>151</v>
      </c>
      <c r="B4" s="417"/>
      <c r="C4" s="417"/>
      <c r="D4" s="417"/>
      <c r="E4" s="417"/>
    </row>
    <row r="5" spans="1:5" ht="18" thickBot="1">
      <c r="A5" s="114"/>
      <c r="B5" s="114"/>
      <c r="C5" s="114"/>
      <c r="D5" s="114"/>
      <c r="E5" s="114"/>
    </row>
    <row r="6" spans="1:5" ht="17.25">
      <c r="A6" s="115"/>
      <c r="B6" s="116"/>
      <c r="C6" s="418">
        <v>2007</v>
      </c>
      <c r="D6" s="418">
        <v>2008</v>
      </c>
      <c r="E6" s="418">
        <v>2009</v>
      </c>
    </row>
    <row r="7" spans="1:5" ht="17.25">
      <c r="A7" s="117" t="s">
        <v>152</v>
      </c>
      <c r="B7" s="118" t="s">
        <v>153</v>
      </c>
      <c r="C7" s="419"/>
      <c r="D7" s="419"/>
      <c r="E7" s="419"/>
    </row>
    <row r="8" spans="1:5" ht="18" thickBot="1">
      <c r="A8" s="119"/>
      <c r="B8" s="120"/>
      <c r="C8" s="420"/>
      <c r="D8" s="420"/>
      <c r="E8" s="420"/>
    </row>
    <row r="9" spans="1:5" ht="17.25">
      <c r="A9" s="121"/>
      <c r="B9" s="122"/>
      <c r="C9" s="123"/>
      <c r="D9" s="122"/>
      <c r="E9" s="123"/>
    </row>
    <row r="10" spans="1:5" ht="17.25">
      <c r="A10" s="124" t="s">
        <v>154</v>
      </c>
      <c r="B10" s="122"/>
      <c r="C10" s="125">
        <f>SUM(C12:C21)</f>
        <v>548692366.7199651</v>
      </c>
      <c r="D10" s="125">
        <f>SUM(D12:D21)</f>
        <v>596111602</v>
      </c>
      <c r="E10" s="125">
        <f>SUM(E12:E21)</f>
        <v>639186625</v>
      </c>
    </row>
    <row r="11" spans="1:5" ht="17.25">
      <c r="A11" s="126"/>
      <c r="B11" s="122"/>
      <c r="C11" s="123"/>
      <c r="D11" s="123"/>
      <c r="E11" s="123"/>
    </row>
    <row r="12" spans="1:5" ht="17.25">
      <c r="A12" s="122" t="s">
        <v>155</v>
      </c>
      <c r="B12" s="122" t="s">
        <v>156</v>
      </c>
      <c r="C12" s="127">
        <v>23032620.99175682</v>
      </c>
      <c r="D12" s="127">
        <v>25030701</v>
      </c>
      <c r="E12" s="127">
        <v>26839419</v>
      </c>
    </row>
    <row r="13" spans="1:5" ht="17.25">
      <c r="A13" s="122"/>
      <c r="B13" s="122"/>
      <c r="C13" s="128"/>
      <c r="D13" s="128"/>
      <c r="E13" s="128"/>
    </row>
    <row r="14" spans="1:5" ht="17.25">
      <c r="A14" s="122"/>
      <c r="B14" s="122"/>
      <c r="C14" s="128"/>
      <c r="D14" s="128"/>
      <c r="E14" s="128"/>
    </row>
    <row r="15" spans="1:5" ht="17.25">
      <c r="A15" s="122" t="s">
        <v>157</v>
      </c>
      <c r="B15" s="122" t="s">
        <v>158</v>
      </c>
      <c r="C15" s="128">
        <v>285721361.82820827</v>
      </c>
      <c r="D15" s="128">
        <v>310327862</v>
      </c>
      <c r="E15" s="128">
        <v>332752153</v>
      </c>
    </row>
    <row r="16" spans="1:5" ht="17.25">
      <c r="A16" s="122"/>
      <c r="B16" s="122"/>
      <c r="C16" s="128"/>
      <c r="D16" s="128"/>
      <c r="E16" s="128"/>
    </row>
    <row r="17" spans="1:5" ht="17.25">
      <c r="A17" s="122"/>
      <c r="B17" s="122"/>
      <c r="C17" s="128"/>
      <c r="D17" s="128"/>
      <c r="E17" s="128"/>
    </row>
    <row r="18" spans="1:5" ht="17.25">
      <c r="A18" s="122" t="s">
        <v>159</v>
      </c>
      <c r="B18" s="122" t="s">
        <v>160</v>
      </c>
      <c r="C18" s="128">
        <v>237138383.9</v>
      </c>
      <c r="D18" s="128">
        <v>257710139</v>
      </c>
      <c r="E18" s="128">
        <v>276332273</v>
      </c>
    </row>
    <row r="19" spans="1:5" ht="17.25">
      <c r="A19" s="122"/>
      <c r="B19" s="122"/>
      <c r="C19" s="128"/>
      <c r="D19" s="128"/>
      <c r="E19" s="128"/>
    </row>
    <row r="20" spans="1:5" ht="17.25">
      <c r="A20" s="122"/>
      <c r="B20" s="122"/>
      <c r="C20" s="128"/>
      <c r="D20" s="128"/>
      <c r="E20" s="128"/>
    </row>
    <row r="21" spans="1:5" ht="17.25">
      <c r="A21" s="122" t="s">
        <v>161</v>
      </c>
      <c r="B21" s="122" t="s">
        <v>175</v>
      </c>
      <c r="C21" s="128">
        <v>2800000</v>
      </c>
      <c r="D21" s="128">
        <v>3042900</v>
      </c>
      <c r="E21" s="128">
        <v>3262780</v>
      </c>
    </row>
    <row r="22" spans="1:5" ht="17.25">
      <c r="A22" s="129"/>
      <c r="B22" s="122"/>
      <c r="C22" s="128"/>
      <c r="D22" s="128"/>
      <c r="E22" s="128"/>
    </row>
    <row r="23" spans="1:5" ht="18" thickBot="1">
      <c r="A23" s="119"/>
      <c r="B23" s="120"/>
      <c r="C23" s="130"/>
      <c r="D23" s="130"/>
      <c r="E23" s="130"/>
    </row>
    <row r="24" spans="1:5" ht="17.25">
      <c r="A24" s="129"/>
      <c r="B24" s="122"/>
      <c r="C24" s="128"/>
      <c r="D24" s="128"/>
      <c r="E24" s="128"/>
    </row>
    <row r="25" spans="1:5" ht="17.25">
      <c r="A25" s="131" t="s">
        <v>35</v>
      </c>
      <c r="B25" s="124"/>
      <c r="C25" s="132">
        <f>SUM(C27:C34)</f>
        <v>7744792.619899999</v>
      </c>
      <c r="D25" s="132">
        <f>SUM(D27:D34)</f>
        <v>8335990</v>
      </c>
      <c r="E25" s="132">
        <f>SUM(E27:E34)</f>
        <v>8627749</v>
      </c>
    </row>
    <row r="26" spans="1:5" ht="17.25">
      <c r="A26" s="129"/>
      <c r="B26" s="122"/>
      <c r="C26" s="128"/>
      <c r="D26" s="128"/>
      <c r="E26" s="128"/>
    </row>
    <row r="27" spans="1:5" ht="17.25">
      <c r="A27" s="129" t="s">
        <v>157</v>
      </c>
      <c r="B27" s="122" t="s">
        <v>162</v>
      </c>
      <c r="C27" s="128">
        <v>4729098.2639999995</v>
      </c>
      <c r="D27" s="128">
        <v>5162815</v>
      </c>
      <c r="E27" s="128">
        <v>5343513</v>
      </c>
    </row>
    <row r="28" spans="1:5" ht="17.25">
      <c r="A28" s="133"/>
      <c r="B28" s="122"/>
      <c r="C28" s="128"/>
      <c r="D28" s="128"/>
      <c r="E28" s="128"/>
    </row>
    <row r="29" spans="1:5" ht="17.25">
      <c r="A29" s="129"/>
      <c r="B29" s="122"/>
      <c r="C29" s="134"/>
      <c r="D29" s="134"/>
      <c r="E29" s="134"/>
    </row>
    <row r="30" spans="1:5" ht="17.25">
      <c r="A30" s="129" t="s">
        <v>161</v>
      </c>
      <c r="B30" s="122" t="s">
        <v>163</v>
      </c>
      <c r="C30" s="128">
        <v>2100000</v>
      </c>
      <c r="D30" s="128">
        <v>2173500</v>
      </c>
      <c r="E30" s="128">
        <v>2249573</v>
      </c>
    </row>
    <row r="31" spans="1:5" ht="17.25">
      <c r="A31" s="133"/>
      <c r="B31" s="122"/>
      <c r="C31" s="134"/>
      <c r="D31" s="134"/>
      <c r="E31" s="134"/>
    </row>
    <row r="32" spans="1:5" ht="17.25">
      <c r="A32" s="129"/>
      <c r="B32" s="122"/>
      <c r="C32" s="134"/>
      <c r="D32" s="134"/>
      <c r="E32" s="134"/>
    </row>
    <row r="33" spans="1:5" ht="17.25">
      <c r="A33" s="129" t="s">
        <v>164</v>
      </c>
      <c r="B33" s="122" t="s">
        <v>165</v>
      </c>
      <c r="C33" s="128">
        <v>915694.3559000001</v>
      </c>
      <c r="D33" s="128">
        <v>999675</v>
      </c>
      <c r="E33" s="128">
        <v>1034663</v>
      </c>
    </row>
    <row r="34" spans="1:5" ht="17.25">
      <c r="A34" s="129"/>
      <c r="B34" s="122" t="s">
        <v>166</v>
      </c>
      <c r="C34" s="134"/>
      <c r="D34" s="134"/>
      <c r="E34" s="134"/>
    </row>
    <row r="35" spans="1:5" ht="17.25">
      <c r="A35" s="129"/>
      <c r="B35" s="122"/>
      <c r="C35" s="134"/>
      <c r="D35" s="134"/>
      <c r="E35" s="134"/>
    </row>
    <row r="36" spans="1:5" ht="18" thickBot="1">
      <c r="A36" s="135"/>
      <c r="B36" s="120"/>
      <c r="C36" s="136"/>
      <c r="D36" s="136"/>
      <c r="E36" s="136"/>
    </row>
    <row r="37" spans="1:5" ht="17.25">
      <c r="A37" s="129"/>
      <c r="B37" s="122"/>
      <c r="C37" s="128"/>
      <c r="D37" s="128"/>
      <c r="E37" s="128"/>
    </row>
    <row r="38" spans="1:5" ht="17.25">
      <c r="A38" s="131" t="s">
        <v>167</v>
      </c>
      <c r="B38" s="124"/>
      <c r="C38" s="132">
        <f>SUM(C40:C47)</f>
        <v>1756076.8</v>
      </c>
      <c r="D38" s="132">
        <f>SUM(D40:D47)</f>
        <v>1817540</v>
      </c>
      <c r="E38" s="132">
        <f>SUM(E40:E47)</f>
        <v>1881154</v>
      </c>
    </row>
    <row r="39" spans="1:5" ht="17.25">
      <c r="A39" s="129"/>
      <c r="B39" s="122"/>
      <c r="C39" s="128"/>
      <c r="D39" s="128"/>
      <c r="E39" s="128"/>
    </row>
    <row r="40" spans="1:5" ht="17.25">
      <c r="A40" s="129" t="s">
        <v>168</v>
      </c>
      <c r="B40" s="122" t="s">
        <v>169</v>
      </c>
      <c r="C40" s="128">
        <v>1307735.2</v>
      </c>
      <c r="D40" s="128">
        <v>1353506</v>
      </c>
      <c r="E40" s="128">
        <v>1400879</v>
      </c>
    </row>
    <row r="41" spans="1:5" ht="17.25">
      <c r="A41" s="133"/>
      <c r="B41" s="122"/>
      <c r="C41" s="128"/>
      <c r="D41" s="128"/>
      <c r="E41" s="128"/>
    </row>
    <row r="42" spans="1:5" ht="17.25">
      <c r="A42" s="129"/>
      <c r="B42" s="122"/>
      <c r="C42" s="134"/>
      <c r="D42" s="134"/>
      <c r="E42" s="134"/>
    </row>
    <row r="43" spans="1:5" ht="17.25">
      <c r="A43" s="129" t="s">
        <v>161</v>
      </c>
      <c r="B43" s="122" t="s">
        <v>163</v>
      </c>
      <c r="C43" s="128">
        <v>380000</v>
      </c>
      <c r="D43" s="128">
        <v>393300</v>
      </c>
      <c r="E43" s="128">
        <v>407066</v>
      </c>
    </row>
    <row r="44" spans="1:5" ht="17.25">
      <c r="A44" s="133"/>
      <c r="B44" s="122"/>
      <c r="C44" s="134"/>
      <c r="D44" s="134"/>
      <c r="E44" s="134"/>
    </row>
    <row r="45" spans="1:5" ht="17.25">
      <c r="A45" s="129"/>
      <c r="B45" s="122"/>
      <c r="C45" s="134"/>
      <c r="D45" s="134"/>
      <c r="E45" s="134"/>
    </row>
    <row r="46" spans="1:5" ht="17.25">
      <c r="A46" s="129" t="s">
        <v>164</v>
      </c>
      <c r="B46" s="122" t="s">
        <v>170</v>
      </c>
      <c r="C46" s="128">
        <v>68341.6</v>
      </c>
      <c r="D46" s="128">
        <v>70734</v>
      </c>
      <c r="E46" s="128">
        <v>73209</v>
      </c>
    </row>
    <row r="47" spans="1:5" ht="17.25">
      <c r="A47" s="129"/>
      <c r="B47" s="122"/>
      <c r="C47" s="134"/>
      <c r="D47" s="134"/>
      <c r="E47" s="134"/>
    </row>
    <row r="48" spans="1:5" ht="17.25">
      <c r="A48" s="129"/>
      <c r="B48" s="122"/>
      <c r="C48" s="134"/>
      <c r="D48" s="134"/>
      <c r="E48" s="134"/>
    </row>
    <row r="49" spans="1:5" ht="18" thickBot="1">
      <c r="A49" s="135"/>
      <c r="B49" s="120"/>
      <c r="C49" s="136"/>
      <c r="D49" s="136"/>
      <c r="E49" s="136"/>
    </row>
    <row r="50" spans="1:5" ht="17.25">
      <c r="A50" s="129"/>
      <c r="B50" s="122"/>
      <c r="C50" s="128"/>
      <c r="D50" s="128"/>
      <c r="E50" s="128"/>
    </row>
    <row r="51" spans="1:5" ht="17.25">
      <c r="A51" s="131" t="s">
        <v>171</v>
      </c>
      <c r="B51" s="124"/>
      <c r="C51" s="132">
        <f>+C54</f>
        <v>2000000</v>
      </c>
      <c r="D51" s="132">
        <f>+D54</f>
        <v>2173500</v>
      </c>
      <c r="E51" s="132">
        <f>+E54</f>
        <v>2330557</v>
      </c>
    </row>
    <row r="52" spans="1:5" ht="17.25">
      <c r="A52" s="129"/>
      <c r="B52" s="122"/>
      <c r="C52" s="128"/>
      <c r="D52" s="128"/>
      <c r="E52" s="128"/>
    </row>
    <row r="53" spans="1:5" ht="17.25">
      <c r="A53" s="129"/>
      <c r="B53" s="122"/>
      <c r="C53" s="134"/>
      <c r="D53" s="134"/>
      <c r="E53" s="134"/>
    </row>
    <row r="54" spans="1:5" ht="17.25">
      <c r="A54" s="129" t="s">
        <v>161</v>
      </c>
      <c r="B54" s="122" t="s">
        <v>163</v>
      </c>
      <c r="C54" s="128">
        <v>2000000</v>
      </c>
      <c r="D54" s="128">
        <v>2173500</v>
      </c>
      <c r="E54" s="128">
        <v>2330557</v>
      </c>
    </row>
    <row r="55" spans="1:5" ht="18" thickBot="1">
      <c r="A55" s="129"/>
      <c r="B55" s="122"/>
      <c r="C55" s="128"/>
      <c r="D55" s="128"/>
      <c r="E55" s="128"/>
    </row>
    <row r="56" spans="1:5" ht="17.25">
      <c r="A56" s="137"/>
      <c r="B56" s="138"/>
      <c r="C56" s="139"/>
      <c r="D56" s="139"/>
      <c r="E56" s="139"/>
    </row>
    <row r="57" spans="1:5" ht="17.25">
      <c r="A57" s="131" t="s">
        <v>172</v>
      </c>
      <c r="B57" s="124"/>
      <c r="C57" s="132">
        <f>+C60</f>
        <v>80038844.79518898</v>
      </c>
      <c r="D57" s="132">
        <f>+D60</f>
        <v>82840204</v>
      </c>
      <c r="E57" s="132">
        <f>+E60</f>
        <v>85739612</v>
      </c>
    </row>
    <row r="58" spans="1:5" ht="17.25">
      <c r="A58" s="129"/>
      <c r="B58" s="122"/>
      <c r="C58" s="128"/>
      <c r="D58" s="128"/>
      <c r="E58" s="128"/>
    </row>
    <row r="59" spans="1:5" ht="17.25">
      <c r="A59" s="122"/>
      <c r="B59" s="122"/>
      <c r="C59" s="134"/>
      <c r="D59" s="134"/>
      <c r="E59" s="134"/>
    </row>
    <row r="60" spans="1:5" ht="17.25">
      <c r="A60" s="122" t="s">
        <v>173</v>
      </c>
      <c r="B60" s="122" t="s">
        <v>174</v>
      </c>
      <c r="C60" s="128">
        <v>80038844.79518898</v>
      </c>
      <c r="D60" s="128">
        <v>82840204</v>
      </c>
      <c r="E60" s="128">
        <v>85739612</v>
      </c>
    </row>
    <row r="61" spans="1:5" ht="18" thickBot="1">
      <c r="A61" s="120"/>
      <c r="B61" s="120"/>
      <c r="C61" s="140"/>
      <c r="D61" s="140"/>
      <c r="E61" s="140"/>
    </row>
    <row r="62" spans="1:5" ht="17.25">
      <c r="A62" s="115"/>
      <c r="B62" s="141"/>
      <c r="C62" s="142"/>
      <c r="D62" s="142"/>
      <c r="E62" s="142"/>
    </row>
    <row r="63" spans="1:5" ht="17.25">
      <c r="A63" s="129"/>
      <c r="B63" s="143" t="s">
        <v>62</v>
      </c>
      <c r="C63" s="144">
        <f>+C10+C25+C38+C51+C57</f>
        <v>640232080.9350541</v>
      </c>
      <c r="D63" s="144">
        <f>+D10+D25+D38+D51+D57</f>
        <v>691278836</v>
      </c>
      <c r="E63" s="144">
        <f>+E10+E25+E38+E51+E57</f>
        <v>737765697</v>
      </c>
    </row>
    <row r="64" spans="1:5" ht="18" thickBot="1">
      <c r="A64" s="119"/>
      <c r="B64" s="145"/>
      <c r="C64" s="140"/>
      <c r="D64" s="140"/>
      <c r="E64" s="140"/>
    </row>
    <row r="65" spans="1:5" ht="17.25">
      <c r="A65" s="146"/>
      <c r="B65" s="146"/>
      <c r="C65" s="146"/>
      <c r="D65" s="146"/>
      <c r="E65" s="147"/>
    </row>
    <row r="66" spans="1:5" ht="12.75">
      <c r="A66" s="148"/>
      <c r="B66" s="148"/>
      <c r="C66" s="148"/>
      <c r="D66" s="148"/>
      <c r="E66" s="149"/>
    </row>
    <row r="67" spans="1:5" ht="12.75">
      <c r="A67" s="148"/>
      <c r="B67" s="148"/>
      <c r="C67" s="148"/>
      <c r="D67" s="148"/>
      <c r="E67" s="149"/>
    </row>
    <row r="68" spans="1:5" ht="12.75">
      <c r="A68" s="148"/>
      <c r="B68" s="148"/>
      <c r="C68" s="148"/>
      <c r="D68" s="148"/>
      <c r="E68" s="149"/>
    </row>
    <row r="69" spans="1:5" ht="12.75">
      <c r="A69" s="148"/>
      <c r="B69" s="148"/>
      <c r="C69" s="148"/>
      <c r="D69" s="148"/>
      <c r="E69" s="149"/>
    </row>
    <row r="70" spans="1:5" ht="12.75">
      <c r="A70" s="148"/>
      <c r="B70" s="148"/>
      <c r="C70" s="148"/>
      <c r="D70" s="148"/>
      <c r="E70" s="149"/>
    </row>
    <row r="71" spans="1:5" ht="12.75">
      <c r="A71" s="148"/>
      <c r="B71" s="148"/>
      <c r="C71" s="148"/>
      <c r="D71" s="148"/>
      <c r="E71" s="149"/>
    </row>
    <row r="72" spans="1:5" ht="12.75">
      <c r="A72" s="148"/>
      <c r="B72" s="148"/>
      <c r="C72" s="148"/>
      <c r="D72" s="148"/>
      <c r="E72" s="149"/>
    </row>
    <row r="73" spans="1:5" ht="12.75">
      <c r="A73" s="148"/>
      <c r="B73" s="148"/>
      <c r="C73" s="148"/>
      <c r="D73" s="148"/>
      <c r="E73" s="149"/>
    </row>
    <row r="74" spans="1:5" ht="12.75">
      <c r="A74" s="148"/>
      <c r="B74" s="148"/>
      <c r="C74" s="148"/>
      <c r="D74" s="148"/>
      <c r="E74" s="149"/>
    </row>
    <row r="75" spans="1:5" ht="12.75">
      <c r="A75" s="148"/>
      <c r="B75" s="148"/>
      <c r="C75" s="148"/>
      <c r="D75" s="148"/>
      <c r="E75" s="149"/>
    </row>
    <row r="76" spans="1:5" ht="12.75">
      <c r="A76" s="148"/>
      <c r="B76" s="148"/>
      <c r="C76" s="148"/>
      <c r="D76" s="148"/>
      <c r="E76" s="149"/>
    </row>
    <row r="77" spans="1:5" ht="12.75">
      <c r="A77" s="148"/>
      <c r="B77" s="148"/>
      <c r="C77" s="148"/>
      <c r="D77" s="148"/>
      <c r="E77" s="149"/>
    </row>
    <row r="78" spans="1:5" ht="12.75">
      <c r="A78" s="148"/>
      <c r="B78" s="148"/>
      <c r="C78" s="148"/>
      <c r="D78" s="148"/>
      <c r="E78" s="149"/>
    </row>
    <row r="79" spans="1:5" ht="12.75">
      <c r="A79" s="148"/>
      <c r="B79" s="148"/>
      <c r="C79" s="148"/>
      <c r="D79" s="148"/>
      <c r="E79" s="149"/>
    </row>
    <row r="80" spans="1:5" ht="12.75">
      <c r="A80" s="148"/>
      <c r="B80" s="148"/>
      <c r="C80" s="148"/>
      <c r="D80" s="148"/>
      <c r="E80" s="149"/>
    </row>
    <row r="81" spans="1:5" ht="12.75">
      <c r="A81" s="148"/>
      <c r="B81" s="148"/>
      <c r="C81" s="148"/>
      <c r="D81" s="148"/>
      <c r="E81" s="149"/>
    </row>
    <row r="82" spans="1:5" ht="12.75">
      <c r="A82" s="148"/>
      <c r="B82" s="148"/>
      <c r="C82" s="148"/>
      <c r="D82" s="148"/>
      <c r="E82" s="149"/>
    </row>
    <row r="83" spans="1:5" ht="12.75">
      <c r="A83" s="148"/>
      <c r="B83" s="148"/>
      <c r="C83" s="148"/>
      <c r="D83" s="148"/>
      <c r="E83" s="149"/>
    </row>
    <row r="84" spans="1:5" ht="12.75">
      <c r="A84" s="148"/>
      <c r="B84" s="148"/>
      <c r="C84" s="148"/>
      <c r="D84" s="148"/>
      <c r="E84" s="149"/>
    </row>
    <row r="85" spans="1:5" ht="12.75">
      <c r="A85" s="148"/>
      <c r="B85" s="148"/>
      <c r="C85" s="148"/>
      <c r="D85" s="148"/>
      <c r="E85" s="149"/>
    </row>
    <row r="86" spans="1:5" ht="12.75">
      <c r="A86" s="148"/>
      <c r="B86" s="148"/>
      <c r="C86" s="148"/>
      <c r="D86" s="148"/>
      <c r="E86" s="149"/>
    </row>
    <row r="87" spans="1:5" ht="12.75">
      <c r="A87" s="148"/>
      <c r="B87" s="148"/>
      <c r="C87" s="148"/>
      <c r="D87" s="148"/>
      <c r="E87" s="149"/>
    </row>
    <row r="88" spans="1:5" ht="12.75">
      <c r="A88" s="148"/>
      <c r="B88" s="148"/>
      <c r="C88" s="148"/>
      <c r="D88" s="148"/>
      <c r="E88" s="149"/>
    </row>
    <row r="89" spans="1:5" ht="12.75">
      <c r="A89" s="148"/>
      <c r="B89" s="148"/>
      <c r="C89" s="148"/>
      <c r="D89" s="148"/>
      <c r="E89" s="149"/>
    </row>
    <row r="90" spans="1:5" ht="12.75">
      <c r="A90" s="148"/>
      <c r="B90" s="148"/>
      <c r="C90" s="148"/>
      <c r="D90" s="148"/>
      <c r="E90" s="149"/>
    </row>
    <row r="91" spans="1:5" ht="12.75">
      <c r="A91" s="148"/>
      <c r="B91" s="148"/>
      <c r="C91" s="148"/>
      <c r="D91" s="148"/>
      <c r="E91" s="149"/>
    </row>
    <row r="92" spans="1:5" ht="12.75">
      <c r="A92" s="148"/>
      <c r="B92" s="148"/>
      <c r="C92" s="148"/>
      <c r="D92" s="148"/>
      <c r="E92" s="149"/>
    </row>
    <row r="93" spans="1:5" ht="12.75">
      <c r="A93" s="148"/>
      <c r="B93" s="148"/>
      <c r="C93" s="148"/>
      <c r="D93" s="148"/>
      <c r="E93" s="149"/>
    </row>
    <row r="94" spans="1:5" ht="12.75">
      <c r="A94" s="148"/>
      <c r="B94" s="148"/>
      <c r="C94" s="148"/>
      <c r="D94" s="148"/>
      <c r="E94" s="149"/>
    </row>
    <row r="95" spans="1:5" ht="12.75">
      <c r="A95" s="148"/>
      <c r="B95" s="148"/>
      <c r="C95" s="148"/>
      <c r="D95" s="148"/>
      <c r="E95" s="149"/>
    </row>
    <row r="96" spans="1:5" ht="12.75">
      <c r="A96" s="148"/>
      <c r="B96" s="148"/>
      <c r="C96" s="148"/>
      <c r="D96" s="148"/>
      <c r="E96" s="149"/>
    </row>
    <row r="97" spans="1:5" ht="12.75">
      <c r="A97" s="148"/>
      <c r="B97" s="148"/>
      <c r="C97" s="148"/>
      <c r="D97" s="148"/>
      <c r="E97" s="149"/>
    </row>
    <row r="98" spans="1:5" ht="12.75">
      <c r="A98" s="148"/>
      <c r="B98" s="148"/>
      <c r="C98" s="148"/>
      <c r="D98" s="148"/>
      <c r="E98" s="149"/>
    </row>
    <row r="99" spans="1:5" ht="12.75">
      <c r="A99" s="148"/>
      <c r="B99" s="148"/>
      <c r="C99" s="148"/>
      <c r="D99" s="148"/>
      <c r="E99" s="149"/>
    </row>
    <row r="100" spans="1:5" ht="12.75">
      <c r="A100" s="148"/>
      <c r="B100" s="148"/>
      <c r="C100" s="148"/>
      <c r="D100" s="148"/>
      <c r="E100" s="149"/>
    </row>
    <row r="101" spans="1:5" ht="12.75">
      <c r="A101" s="148"/>
      <c r="B101" s="148"/>
      <c r="C101" s="148"/>
      <c r="D101" s="148"/>
      <c r="E101" s="149"/>
    </row>
    <row r="102" spans="1:5" ht="12.75">
      <c r="A102" s="148"/>
      <c r="B102" s="148"/>
      <c r="C102" s="148"/>
      <c r="D102" s="148"/>
      <c r="E102" s="149"/>
    </row>
    <row r="103" spans="1:5" ht="12.75">
      <c r="A103" s="148"/>
      <c r="B103" s="148"/>
      <c r="C103" s="148"/>
      <c r="D103" s="148"/>
      <c r="E103" s="149"/>
    </row>
    <row r="104" spans="1:5" ht="12.75">
      <c r="A104" s="148"/>
      <c r="B104" s="148"/>
      <c r="C104" s="148"/>
      <c r="D104" s="148"/>
      <c r="E104" s="149"/>
    </row>
    <row r="105" spans="1:5" ht="12.75">
      <c r="A105" s="148"/>
      <c r="B105" s="148"/>
      <c r="C105" s="148"/>
      <c r="D105" s="148"/>
      <c r="E105" s="149"/>
    </row>
    <row r="106" spans="1:5" ht="12.75">
      <c r="A106" s="148"/>
      <c r="B106" s="148"/>
      <c r="C106" s="148"/>
      <c r="D106" s="148"/>
      <c r="E106" s="149"/>
    </row>
    <row r="107" spans="1:5" ht="12.75">
      <c r="A107" s="148"/>
      <c r="B107" s="148"/>
      <c r="C107" s="148"/>
      <c r="D107" s="148"/>
      <c r="E107" s="149"/>
    </row>
    <row r="108" spans="1:5" ht="12.75">
      <c r="A108" s="148"/>
      <c r="B108" s="148"/>
      <c r="C108" s="148"/>
      <c r="D108" s="148"/>
      <c r="E108" s="149"/>
    </row>
    <row r="109" spans="1:5" ht="12.75">
      <c r="A109" s="148"/>
      <c r="B109" s="148"/>
      <c r="C109" s="148"/>
      <c r="D109" s="148"/>
      <c r="E109" s="149"/>
    </row>
    <row r="110" spans="1:5" ht="12.75">
      <c r="A110" s="148"/>
      <c r="B110" s="148"/>
      <c r="C110" s="148"/>
      <c r="D110" s="148"/>
      <c r="E110" s="149"/>
    </row>
    <row r="111" spans="1:5" ht="12.75">
      <c r="A111" s="148"/>
      <c r="B111" s="148"/>
      <c r="C111" s="148"/>
      <c r="D111" s="148"/>
      <c r="E111" s="149"/>
    </row>
    <row r="112" spans="1:5" ht="12.75">
      <c r="A112" s="148"/>
      <c r="B112" s="148"/>
      <c r="C112" s="148"/>
      <c r="D112" s="148"/>
      <c r="E112" s="149"/>
    </row>
    <row r="113" spans="1:5" ht="12.75">
      <c r="A113" s="148"/>
      <c r="B113" s="148"/>
      <c r="C113" s="148"/>
      <c r="D113" s="148"/>
      <c r="E113" s="149"/>
    </row>
    <row r="114" spans="1:5" ht="12.75">
      <c r="A114" s="148"/>
      <c r="B114" s="148"/>
      <c r="C114" s="148"/>
      <c r="D114" s="148"/>
      <c r="E114" s="149"/>
    </row>
    <row r="115" spans="1:5" ht="12.75">
      <c r="A115" s="148"/>
      <c r="B115" s="148"/>
      <c r="C115" s="148"/>
      <c r="D115" s="148"/>
      <c r="E115" s="149"/>
    </row>
    <row r="116" spans="1:5" ht="12.75">
      <c r="A116" s="148"/>
      <c r="B116" s="148"/>
      <c r="C116" s="148"/>
      <c r="D116" s="148"/>
      <c r="E116" s="149"/>
    </row>
    <row r="117" spans="1:5" ht="12.75">
      <c r="A117" s="148"/>
      <c r="B117" s="148"/>
      <c r="C117" s="148"/>
      <c r="D117" s="148"/>
      <c r="E117" s="149"/>
    </row>
    <row r="118" spans="1:5" ht="12.75">
      <c r="A118" s="148"/>
      <c r="B118" s="148"/>
      <c r="C118" s="148"/>
      <c r="D118" s="148"/>
      <c r="E118" s="149"/>
    </row>
    <row r="119" spans="1:5" ht="12.75">
      <c r="A119" s="148"/>
      <c r="B119" s="148"/>
      <c r="C119" s="148"/>
      <c r="D119" s="148"/>
      <c r="E119" s="149"/>
    </row>
    <row r="120" spans="1:5" ht="12.75">
      <c r="A120" s="148"/>
      <c r="B120" s="148"/>
      <c r="C120" s="148"/>
      <c r="D120" s="148"/>
      <c r="E120" s="149"/>
    </row>
    <row r="121" spans="1:5" ht="12.75">
      <c r="A121" s="148"/>
      <c r="B121" s="148"/>
      <c r="C121" s="148"/>
      <c r="D121" s="148"/>
      <c r="E121" s="149"/>
    </row>
    <row r="122" spans="1:5" ht="12.75">
      <c r="A122" s="148"/>
      <c r="B122" s="148"/>
      <c r="C122" s="148"/>
      <c r="D122" s="148"/>
      <c r="E122" s="149"/>
    </row>
    <row r="123" spans="1:5" ht="12.75">
      <c r="A123" s="148"/>
      <c r="B123" s="148"/>
      <c r="C123" s="148"/>
      <c r="D123" s="148"/>
      <c r="E123" s="149"/>
    </row>
    <row r="124" spans="1:5" ht="12.75">
      <c r="A124" s="148"/>
      <c r="B124" s="148"/>
      <c r="C124" s="148"/>
      <c r="D124" s="148"/>
      <c r="E124" s="149"/>
    </row>
    <row r="125" spans="1:5" ht="12.75">
      <c r="A125" s="148"/>
      <c r="B125" s="148"/>
      <c r="C125" s="148"/>
      <c r="D125" s="148"/>
      <c r="E125" s="149"/>
    </row>
    <row r="126" spans="1:5" ht="12.75">
      <c r="A126" s="148"/>
      <c r="B126" s="148"/>
      <c r="C126" s="148"/>
      <c r="D126" s="148"/>
      <c r="E126" s="149"/>
    </row>
    <row r="127" spans="1:5" ht="12.75">
      <c r="A127" s="148"/>
      <c r="B127" s="148"/>
      <c r="C127" s="148"/>
      <c r="D127" s="148"/>
      <c r="E127" s="149"/>
    </row>
    <row r="128" spans="1:5" ht="12.75">
      <c r="A128" s="148"/>
      <c r="B128" s="148"/>
      <c r="C128" s="148"/>
      <c r="D128" s="148"/>
      <c r="E128" s="149"/>
    </row>
    <row r="129" spans="1:5" ht="12.75">
      <c r="A129" s="148"/>
      <c r="B129" s="148"/>
      <c r="C129" s="148"/>
      <c r="D129" s="148"/>
      <c r="E129" s="149"/>
    </row>
    <row r="130" spans="1:5" ht="12.75">
      <c r="A130" s="148"/>
      <c r="B130" s="148"/>
      <c r="C130" s="148"/>
      <c r="D130" s="148"/>
      <c r="E130" s="149"/>
    </row>
    <row r="131" spans="1:5" ht="12.75">
      <c r="A131" s="148"/>
      <c r="B131" s="148"/>
      <c r="C131" s="148"/>
      <c r="D131" s="148"/>
      <c r="E131" s="149"/>
    </row>
    <row r="132" spans="1:5" ht="12.75">
      <c r="A132" s="148"/>
      <c r="B132" s="148"/>
      <c r="C132" s="148"/>
      <c r="D132" s="148"/>
      <c r="E132" s="149"/>
    </row>
    <row r="133" spans="1:5" ht="12.75">
      <c r="A133" s="148"/>
      <c r="B133" s="148"/>
      <c r="C133" s="148"/>
      <c r="D133" s="148"/>
      <c r="E133" s="149"/>
    </row>
    <row r="134" spans="1:5" ht="12.75">
      <c r="A134" s="148"/>
      <c r="B134" s="148"/>
      <c r="C134" s="148"/>
      <c r="D134" s="148"/>
      <c r="E134" s="149"/>
    </row>
    <row r="135" spans="1:5" ht="12.75">
      <c r="A135" s="148"/>
      <c r="B135" s="148"/>
      <c r="C135" s="148"/>
      <c r="D135" s="148"/>
      <c r="E135" s="149"/>
    </row>
    <row r="136" spans="1:5" ht="12.75">
      <c r="A136" s="148"/>
      <c r="B136" s="148"/>
      <c r="C136" s="148"/>
      <c r="D136" s="148"/>
      <c r="E136" s="149"/>
    </row>
    <row r="137" spans="1:5" ht="12.75">
      <c r="A137" s="148"/>
      <c r="B137" s="148"/>
      <c r="C137" s="148"/>
      <c r="D137" s="148"/>
      <c r="E137" s="149"/>
    </row>
    <row r="138" spans="1:5" ht="12.75">
      <c r="A138" s="148"/>
      <c r="B138" s="148"/>
      <c r="C138" s="148"/>
      <c r="D138" s="148"/>
      <c r="E138" s="149"/>
    </row>
    <row r="139" spans="1:5" ht="12.75">
      <c r="A139" s="148"/>
      <c r="B139" s="148"/>
      <c r="C139" s="148"/>
      <c r="D139" s="148"/>
      <c r="E139" s="149"/>
    </row>
    <row r="140" spans="1:5" ht="12.75">
      <c r="A140" s="148"/>
      <c r="B140" s="148"/>
      <c r="C140" s="148"/>
      <c r="D140" s="148"/>
      <c r="E140" s="149"/>
    </row>
    <row r="141" spans="1:5" ht="12.75">
      <c r="A141" s="148"/>
      <c r="B141" s="148"/>
      <c r="C141" s="148"/>
      <c r="D141" s="148"/>
      <c r="E141" s="149"/>
    </row>
    <row r="142" spans="1:5" ht="12.75">
      <c r="A142" s="148"/>
      <c r="B142" s="148"/>
      <c r="C142" s="148"/>
      <c r="D142" s="148"/>
      <c r="E142" s="149"/>
    </row>
    <row r="143" spans="1:5" ht="12.75">
      <c r="A143" s="148"/>
      <c r="B143" s="148"/>
      <c r="C143" s="148"/>
      <c r="D143" s="148"/>
      <c r="E143" s="149"/>
    </row>
    <row r="144" spans="1:5" ht="12.75">
      <c r="A144" s="148"/>
      <c r="B144" s="148"/>
      <c r="C144" s="148"/>
      <c r="D144" s="148"/>
      <c r="E144" s="149"/>
    </row>
    <row r="145" spans="1:5" ht="12.75">
      <c r="A145" s="148"/>
      <c r="B145" s="148"/>
      <c r="C145" s="148"/>
      <c r="D145" s="148"/>
      <c r="E145" s="149"/>
    </row>
    <row r="146" spans="1:5" ht="12.75">
      <c r="A146" s="148"/>
      <c r="B146" s="148"/>
      <c r="C146" s="148"/>
      <c r="D146" s="148"/>
      <c r="E146" s="149"/>
    </row>
    <row r="147" spans="1:5" ht="12.75">
      <c r="A147" s="148"/>
      <c r="B147" s="148"/>
      <c r="C147" s="148"/>
      <c r="D147" s="148"/>
      <c r="E147" s="149"/>
    </row>
    <row r="148" spans="1:5" ht="12.75">
      <c r="A148" s="148"/>
      <c r="B148" s="148"/>
      <c r="C148" s="148"/>
      <c r="D148" s="148"/>
      <c r="E148" s="149"/>
    </row>
    <row r="149" spans="1:5" ht="12.75">
      <c r="A149" s="148"/>
      <c r="B149" s="148"/>
      <c r="C149" s="148"/>
      <c r="D149" s="148"/>
      <c r="E149" s="149"/>
    </row>
    <row r="150" spans="1:5" ht="12.75">
      <c r="A150" s="148"/>
      <c r="B150" s="148"/>
      <c r="C150" s="148"/>
      <c r="D150" s="148"/>
      <c r="E150" s="149"/>
    </row>
    <row r="151" spans="1:5" ht="12.75">
      <c r="A151" s="148"/>
      <c r="B151" s="148"/>
      <c r="C151" s="148"/>
      <c r="D151" s="148"/>
      <c r="E151" s="149"/>
    </row>
    <row r="152" spans="1:5" ht="12.75">
      <c r="A152" s="148"/>
      <c r="B152" s="148"/>
      <c r="C152" s="148"/>
      <c r="D152" s="148"/>
      <c r="E152" s="149"/>
    </row>
    <row r="153" spans="1:5" ht="12.75">
      <c r="A153" s="148"/>
      <c r="B153" s="148"/>
      <c r="C153" s="148"/>
      <c r="D153" s="148"/>
      <c r="E153" s="149"/>
    </row>
    <row r="154" spans="1:5" ht="12.75">
      <c r="A154" s="148"/>
      <c r="B154" s="148"/>
      <c r="C154" s="148"/>
      <c r="D154" s="148"/>
      <c r="E154" s="149"/>
    </row>
    <row r="155" spans="1:5" ht="12.75">
      <c r="A155" s="148"/>
      <c r="B155" s="148"/>
      <c r="C155" s="148"/>
      <c r="D155" s="148"/>
      <c r="E155" s="149"/>
    </row>
    <row r="156" spans="1:5" ht="12.75">
      <c r="A156" s="148"/>
      <c r="B156" s="148"/>
      <c r="C156" s="148"/>
      <c r="D156" s="148"/>
      <c r="E156" s="149"/>
    </row>
    <row r="157" spans="1:5" ht="12.75">
      <c r="A157" s="148"/>
      <c r="B157" s="148"/>
      <c r="C157" s="148"/>
      <c r="D157" s="148"/>
      <c r="E157" s="149"/>
    </row>
    <row r="158" spans="1:5" ht="12.75">
      <c r="A158" s="148"/>
      <c r="B158" s="148"/>
      <c r="C158" s="148"/>
      <c r="D158" s="148"/>
      <c r="E158" s="149"/>
    </row>
    <row r="159" spans="1:5" ht="12.75">
      <c r="A159" s="148"/>
      <c r="B159" s="148"/>
      <c r="C159" s="148"/>
      <c r="D159" s="148"/>
      <c r="E159" s="149"/>
    </row>
    <row r="160" spans="1:5" ht="12.75">
      <c r="A160" s="148"/>
      <c r="B160" s="148"/>
      <c r="C160" s="148"/>
      <c r="D160" s="148"/>
      <c r="E160" s="149"/>
    </row>
    <row r="161" spans="1:5" ht="12.75">
      <c r="A161" s="148"/>
      <c r="B161" s="148"/>
      <c r="C161" s="148"/>
      <c r="D161" s="148"/>
      <c r="E161" s="149"/>
    </row>
    <row r="162" spans="1:5" ht="12.75">
      <c r="A162" s="148"/>
      <c r="B162" s="148"/>
      <c r="C162" s="148"/>
      <c r="D162" s="148"/>
      <c r="E162" s="149"/>
    </row>
    <row r="163" spans="1:5" ht="12.75">
      <c r="A163" s="148"/>
      <c r="B163" s="148"/>
      <c r="C163" s="148"/>
      <c r="D163" s="148"/>
      <c r="E163" s="149"/>
    </row>
    <row r="164" spans="1:5" ht="12.75">
      <c r="A164" s="148"/>
      <c r="B164" s="148"/>
      <c r="C164" s="148"/>
      <c r="D164" s="148"/>
      <c r="E164" s="149"/>
    </row>
    <row r="165" spans="1:5" ht="12.75">
      <c r="A165" s="148"/>
      <c r="B165" s="148"/>
      <c r="C165" s="148"/>
      <c r="D165" s="148"/>
      <c r="E165" s="149"/>
    </row>
    <row r="166" spans="1:5" ht="12.75">
      <c r="A166" s="148"/>
      <c r="B166" s="148"/>
      <c r="C166" s="148"/>
      <c r="D166" s="148"/>
      <c r="E166" s="149"/>
    </row>
    <row r="167" spans="1:5" ht="12.75">
      <c r="A167" s="148"/>
      <c r="B167" s="148"/>
      <c r="C167" s="148"/>
      <c r="D167" s="148"/>
      <c r="E167" s="149"/>
    </row>
    <row r="168" spans="1:5" ht="12.75">
      <c r="A168" s="148"/>
      <c r="B168" s="148"/>
      <c r="C168" s="148"/>
      <c r="D168" s="148"/>
      <c r="E168" s="149"/>
    </row>
    <row r="169" spans="1:5" ht="12.75">
      <c r="A169" s="148"/>
      <c r="B169" s="148"/>
      <c r="C169" s="148"/>
      <c r="D169" s="148"/>
      <c r="E169" s="149"/>
    </row>
    <row r="170" spans="1:5" ht="12.75">
      <c r="A170" s="148"/>
      <c r="B170" s="148"/>
      <c r="C170" s="148"/>
      <c r="D170" s="148"/>
      <c r="E170" s="149"/>
    </row>
    <row r="171" spans="1:5" ht="12.75">
      <c r="A171" s="148"/>
      <c r="B171" s="148"/>
      <c r="C171" s="148"/>
      <c r="D171" s="148"/>
      <c r="E171" s="149"/>
    </row>
    <row r="172" spans="1:5" ht="12.75">
      <c r="A172" s="148"/>
      <c r="B172" s="148"/>
      <c r="C172" s="148"/>
      <c r="D172" s="148"/>
      <c r="E172" s="149"/>
    </row>
    <row r="173" spans="1:5" ht="12.75">
      <c r="A173" s="148"/>
      <c r="B173" s="148"/>
      <c r="C173" s="148"/>
      <c r="D173" s="148"/>
      <c r="E173" s="149"/>
    </row>
    <row r="174" spans="1:5" ht="12.75">
      <c r="A174" s="148"/>
      <c r="B174" s="148"/>
      <c r="C174" s="148"/>
      <c r="D174" s="148"/>
      <c r="E174" s="149"/>
    </row>
    <row r="175" spans="1:5" ht="12.75">
      <c r="A175" s="148"/>
      <c r="B175" s="148"/>
      <c r="C175" s="148"/>
      <c r="D175" s="148"/>
      <c r="E175" s="149"/>
    </row>
    <row r="176" spans="1:5" ht="12.75">
      <c r="A176" s="148"/>
      <c r="B176" s="148"/>
      <c r="C176" s="148"/>
      <c r="D176" s="148"/>
      <c r="E176" s="149"/>
    </row>
    <row r="177" spans="1:5" ht="12.75">
      <c r="A177" s="148"/>
      <c r="B177" s="148"/>
      <c r="C177" s="148"/>
      <c r="D177" s="148"/>
      <c r="E177" s="149"/>
    </row>
    <row r="178" spans="1:5" ht="12.75">
      <c r="A178" s="148"/>
      <c r="B178" s="148"/>
      <c r="C178" s="148"/>
      <c r="D178" s="148"/>
      <c r="E178" s="149"/>
    </row>
    <row r="179" spans="1:5" ht="12.75">
      <c r="A179" s="148"/>
      <c r="B179" s="148"/>
      <c r="C179" s="148"/>
      <c r="D179" s="148"/>
      <c r="E179" s="149"/>
    </row>
    <row r="180" spans="1:5" ht="12.75">
      <c r="A180" s="148"/>
      <c r="B180" s="148"/>
      <c r="C180" s="148"/>
      <c r="D180" s="148"/>
      <c r="E180" s="149"/>
    </row>
    <row r="181" spans="1:5" ht="12.75">
      <c r="A181" s="148"/>
      <c r="B181" s="148"/>
      <c r="C181" s="148"/>
      <c r="D181" s="148"/>
      <c r="E181" s="149"/>
    </row>
    <row r="182" spans="1:5" ht="12.75">
      <c r="A182" s="148"/>
      <c r="B182" s="148"/>
      <c r="C182" s="148"/>
      <c r="D182" s="148"/>
      <c r="E182" s="149"/>
    </row>
    <row r="183" spans="1:5" ht="12.75">
      <c r="A183" s="148"/>
      <c r="B183" s="148"/>
      <c r="C183" s="148"/>
      <c r="D183" s="148"/>
      <c r="E183" s="149"/>
    </row>
    <row r="184" spans="1:5" ht="12.75">
      <c r="A184" s="148"/>
      <c r="B184" s="148"/>
      <c r="C184" s="148"/>
      <c r="D184" s="148"/>
      <c r="E184" s="149"/>
    </row>
    <row r="185" spans="1:5" ht="12.75">
      <c r="A185" s="148"/>
      <c r="B185" s="148"/>
      <c r="C185" s="148"/>
      <c r="D185" s="148"/>
      <c r="E185" s="149"/>
    </row>
    <row r="186" spans="1:5" ht="12.75">
      <c r="A186" s="148"/>
      <c r="B186" s="148"/>
      <c r="C186" s="148"/>
      <c r="D186" s="148"/>
      <c r="E186" s="149"/>
    </row>
    <row r="187" spans="1:5" ht="12.75">
      <c r="A187" s="148"/>
      <c r="B187" s="148"/>
      <c r="C187" s="148"/>
      <c r="D187" s="148"/>
      <c r="E187" s="149"/>
    </row>
    <row r="188" spans="1:5" ht="12.75">
      <c r="A188" s="148"/>
      <c r="B188" s="148"/>
      <c r="C188" s="148"/>
      <c r="D188" s="148"/>
      <c r="E188" s="149"/>
    </row>
    <row r="189" spans="1:5" ht="12.75">
      <c r="A189" s="148"/>
      <c r="B189" s="148"/>
      <c r="C189" s="148"/>
      <c r="D189" s="148"/>
      <c r="E189" s="149"/>
    </row>
    <row r="190" spans="1:5" ht="12.75">
      <c r="A190" s="148"/>
      <c r="B190" s="148"/>
      <c r="C190" s="148"/>
      <c r="D190" s="148"/>
      <c r="E190" s="149"/>
    </row>
    <row r="191" spans="1:5" ht="12.75">
      <c r="A191" s="148"/>
      <c r="B191" s="148"/>
      <c r="C191" s="148"/>
      <c r="D191" s="148"/>
      <c r="E191" s="149"/>
    </row>
    <row r="192" spans="1:5" ht="12.75">
      <c r="A192" s="148"/>
      <c r="B192" s="148"/>
      <c r="C192" s="148"/>
      <c r="D192" s="148"/>
      <c r="E192" s="149"/>
    </row>
    <row r="193" spans="1:5" ht="12.75">
      <c r="A193" s="148"/>
      <c r="B193" s="148"/>
      <c r="C193" s="148"/>
      <c r="D193" s="148"/>
      <c r="E193" s="149"/>
    </row>
    <row r="194" spans="1:5" ht="12.75">
      <c r="A194" s="148"/>
      <c r="B194" s="148"/>
      <c r="C194" s="148"/>
      <c r="D194" s="148"/>
      <c r="E194" s="149"/>
    </row>
    <row r="195" spans="1:5" ht="12.75">
      <c r="A195" s="148"/>
      <c r="B195" s="148"/>
      <c r="C195" s="148"/>
      <c r="D195" s="148"/>
      <c r="E195" s="149"/>
    </row>
    <row r="196" spans="1:5" ht="12.75">
      <c r="A196" s="148"/>
      <c r="B196" s="148"/>
      <c r="C196" s="148"/>
      <c r="D196" s="148"/>
      <c r="E196" s="149"/>
    </row>
    <row r="197" spans="1:5" ht="12.75">
      <c r="A197" s="148"/>
      <c r="B197" s="148"/>
      <c r="C197" s="148"/>
      <c r="D197" s="148"/>
      <c r="E197" s="149"/>
    </row>
    <row r="198" spans="1:5" ht="12.75">
      <c r="A198" s="148"/>
      <c r="B198" s="148"/>
      <c r="C198" s="148"/>
      <c r="D198" s="148"/>
      <c r="E198" s="149"/>
    </row>
    <row r="199" spans="1:5" ht="12.75">
      <c r="A199" s="148"/>
      <c r="B199" s="148"/>
      <c r="C199" s="148"/>
      <c r="D199" s="148"/>
      <c r="E199" s="149"/>
    </row>
    <row r="200" spans="1:5" ht="12.75">
      <c r="A200" s="148"/>
      <c r="B200" s="148"/>
      <c r="C200" s="148"/>
      <c r="D200" s="148"/>
      <c r="E200" s="149"/>
    </row>
    <row r="201" spans="1:5" ht="12.75">
      <c r="A201" s="148"/>
      <c r="B201" s="148"/>
      <c r="C201" s="148"/>
      <c r="D201" s="148"/>
      <c r="E201" s="149"/>
    </row>
    <row r="202" spans="1:5" ht="12.75">
      <c r="A202" s="148"/>
      <c r="B202" s="148"/>
      <c r="C202" s="148"/>
      <c r="D202" s="148"/>
      <c r="E202" s="149"/>
    </row>
    <row r="203" spans="1:5" ht="12.75">
      <c r="A203" s="148"/>
      <c r="B203" s="148"/>
      <c r="C203" s="148"/>
      <c r="D203" s="148"/>
      <c r="E203" s="149"/>
    </row>
    <row r="204" spans="1:5" ht="12.75">
      <c r="A204" s="148"/>
      <c r="B204" s="148"/>
      <c r="C204" s="148"/>
      <c r="D204" s="148"/>
      <c r="E204" s="149"/>
    </row>
    <row r="205" spans="1:5" ht="12.75">
      <c r="A205" s="148"/>
      <c r="B205" s="148"/>
      <c r="C205" s="148"/>
      <c r="D205" s="148"/>
      <c r="E205" s="149"/>
    </row>
    <row r="206" spans="1:5" ht="12.75">
      <c r="A206" s="148"/>
      <c r="B206" s="148"/>
      <c r="C206" s="148"/>
      <c r="D206" s="148"/>
      <c r="E206" s="149"/>
    </row>
    <row r="207" spans="1:5" ht="12.75">
      <c r="A207" s="148"/>
      <c r="B207" s="148"/>
      <c r="C207" s="148"/>
      <c r="D207" s="148"/>
      <c r="E207" s="149"/>
    </row>
    <row r="208" spans="1:5" ht="12.75">
      <c r="A208" s="148"/>
      <c r="B208" s="148"/>
      <c r="C208" s="148"/>
      <c r="D208" s="148"/>
      <c r="E208" s="149"/>
    </row>
    <row r="209" spans="1:5" ht="12.75">
      <c r="A209" s="148"/>
      <c r="B209" s="148"/>
      <c r="C209" s="148"/>
      <c r="D209" s="148"/>
      <c r="E209" s="149"/>
    </row>
    <row r="210" spans="1:5" ht="12.75">
      <c r="A210" s="148"/>
      <c r="B210" s="148"/>
      <c r="C210" s="148"/>
      <c r="D210" s="148"/>
      <c r="E210" s="149"/>
    </row>
    <row r="211" spans="1:5" ht="12.75">
      <c r="A211" s="148"/>
      <c r="B211" s="148"/>
      <c r="C211" s="148"/>
      <c r="D211" s="148"/>
      <c r="E211" s="149"/>
    </row>
    <row r="212" spans="1:5" ht="12.75">
      <c r="A212" s="148"/>
      <c r="B212" s="148"/>
      <c r="C212" s="148"/>
      <c r="D212" s="148"/>
      <c r="E212" s="149"/>
    </row>
    <row r="213" spans="1:5" ht="12.75">
      <c r="A213" s="148"/>
      <c r="B213" s="148"/>
      <c r="C213" s="148"/>
      <c r="D213" s="148"/>
      <c r="E213" s="149"/>
    </row>
    <row r="214" spans="1:5" ht="12.75">
      <c r="A214" s="148"/>
      <c r="B214" s="148"/>
      <c r="C214" s="148"/>
      <c r="D214" s="148"/>
      <c r="E214" s="149"/>
    </row>
    <row r="215" spans="1:5" ht="12.75">
      <c r="A215" s="148"/>
      <c r="B215" s="148"/>
      <c r="C215" s="148"/>
      <c r="D215" s="148"/>
      <c r="E215" s="149"/>
    </row>
    <row r="216" spans="1:5" ht="12.75">
      <c r="A216" s="148"/>
      <c r="B216" s="148"/>
      <c r="C216" s="148"/>
      <c r="D216" s="148"/>
      <c r="E216" s="149"/>
    </row>
    <row r="217" spans="1:5" ht="12.75">
      <c r="A217" s="148"/>
      <c r="B217" s="148"/>
      <c r="C217" s="148"/>
      <c r="D217" s="148"/>
      <c r="E217" s="149"/>
    </row>
    <row r="218" spans="1:5" ht="12.75">
      <c r="A218" s="148"/>
      <c r="B218" s="148"/>
      <c r="C218" s="148"/>
      <c r="D218" s="148"/>
      <c r="E218" s="149"/>
    </row>
    <row r="219" spans="1:5" ht="12.75">
      <c r="A219" s="148"/>
      <c r="B219" s="148"/>
      <c r="C219" s="148"/>
      <c r="D219" s="148"/>
      <c r="E219" s="149"/>
    </row>
    <row r="220" spans="1:5" ht="12.75">
      <c r="A220" s="148"/>
      <c r="B220" s="148"/>
      <c r="C220" s="148"/>
      <c r="D220" s="148"/>
      <c r="E220" s="149"/>
    </row>
    <row r="221" spans="1:5" ht="12.75">
      <c r="A221" s="148"/>
      <c r="B221" s="148"/>
      <c r="C221" s="148"/>
      <c r="D221" s="148"/>
      <c r="E221" s="149"/>
    </row>
    <row r="222" spans="1:5" ht="12.75">
      <c r="A222" s="148"/>
      <c r="B222" s="148"/>
      <c r="C222" s="148"/>
      <c r="D222" s="148"/>
      <c r="E222" s="149"/>
    </row>
    <row r="223" spans="1:5" ht="12.75">
      <c r="A223" s="148"/>
      <c r="B223" s="148"/>
      <c r="C223" s="148"/>
      <c r="D223" s="148"/>
      <c r="E223" s="149"/>
    </row>
    <row r="224" spans="1:5" ht="12.75">
      <c r="A224" s="148"/>
      <c r="B224" s="148"/>
      <c r="C224" s="148"/>
      <c r="D224" s="148"/>
      <c r="E224" s="149"/>
    </row>
    <row r="225" spans="1:5" ht="12.75">
      <c r="A225" s="148"/>
      <c r="B225" s="148"/>
      <c r="C225" s="148"/>
      <c r="D225" s="148"/>
      <c r="E225" s="149"/>
    </row>
    <row r="226" spans="1:5" ht="12.75">
      <c r="A226" s="148"/>
      <c r="B226" s="148"/>
      <c r="C226" s="148"/>
      <c r="D226" s="148"/>
      <c r="E226" s="149"/>
    </row>
    <row r="227" spans="1:5" ht="12.75">
      <c r="A227" s="148"/>
      <c r="B227" s="148"/>
      <c r="C227" s="148"/>
      <c r="D227" s="148"/>
      <c r="E227" s="149"/>
    </row>
    <row r="228" spans="1:5" ht="12.75">
      <c r="A228" s="148"/>
      <c r="B228" s="148"/>
      <c r="C228" s="148"/>
      <c r="D228" s="148"/>
      <c r="E228" s="149"/>
    </row>
    <row r="229" spans="1:5" ht="12.75">
      <c r="A229" s="148"/>
      <c r="B229" s="148"/>
      <c r="C229" s="148"/>
      <c r="D229" s="148"/>
      <c r="E229" s="149"/>
    </row>
    <row r="230" spans="1:5" ht="12.75">
      <c r="A230" s="148"/>
      <c r="B230" s="148"/>
      <c r="C230" s="148"/>
      <c r="D230" s="148"/>
      <c r="E230" s="149"/>
    </row>
    <row r="231" spans="1:5" ht="12.75">
      <c r="A231" s="148"/>
      <c r="B231" s="148"/>
      <c r="C231" s="148"/>
      <c r="D231" s="148"/>
      <c r="E231" s="149"/>
    </row>
    <row r="232" spans="1:5" ht="12.75">
      <c r="A232" s="148"/>
      <c r="B232" s="148"/>
      <c r="C232" s="148"/>
      <c r="D232" s="148"/>
      <c r="E232" s="149"/>
    </row>
    <row r="233" spans="1:5" ht="12.75">
      <c r="A233" s="148"/>
      <c r="B233" s="148"/>
      <c r="C233" s="148"/>
      <c r="D233" s="148"/>
      <c r="E233" s="149"/>
    </row>
    <row r="234" spans="1:5" ht="12.75">
      <c r="A234" s="148"/>
      <c r="B234" s="148"/>
      <c r="C234" s="148"/>
      <c r="D234" s="148"/>
      <c r="E234" s="149"/>
    </row>
    <row r="235" spans="1:5" ht="12.75">
      <c r="A235" s="148"/>
      <c r="B235" s="148"/>
      <c r="C235" s="148"/>
      <c r="D235" s="148"/>
      <c r="E235" s="149"/>
    </row>
    <row r="236" spans="1:5" ht="12.75">
      <c r="A236" s="148"/>
      <c r="B236" s="148"/>
      <c r="C236" s="148"/>
      <c r="D236" s="148"/>
      <c r="E236" s="149"/>
    </row>
    <row r="237" spans="1:5" ht="12.75">
      <c r="A237" s="148"/>
      <c r="B237" s="148"/>
      <c r="C237" s="148"/>
      <c r="D237" s="148"/>
      <c r="E237" s="149"/>
    </row>
    <row r="238" spans="1:5" ht="12.75">
      <c r="A238" s="148"/>
      <c r="B238" s="148"/>
      <c r="C238" s="148"/>
      <c r="D238" s="148"/>
      <c r="E238" s="149"/>
    </row>
    <row r="239" spans="1:5" ht="12.75">
      <c r="A239" s="148"/>
      <c r="B239" s="148"/>
      <c r="C239" s="148"/>
      <c r="D239" s="148"/>
      <c r="E239" s="149"/>
    </row>
    <row r="240" spans="1:5" ht="12.75">
      <c r="A240" s="148"/>
      <c r="B240" s="148"/>
      <c r="C240" s="148"/>
      <c r="D240" s="148"/>
      <c r="E240" s="149"/>
    </row>
    <row r="241" spans="1:5" ht="12.75">
      <c r="A241" s="148"/>
      <c r="B241" s="148"/>
      <c r="C241" s="148"/>
      <c r="D241" s="148"/>
      <c r="E241" s="149"/>
    </row>
    <row r="242" spans="1:5" ht="12.75">
      <c r="A242" s="148"/>
      <c r="B242" s="148"/>
      <c r="C242" s="148"/>
      <c r="D242" s="148"/>
      <c r="E242" s="149"/>
    </row>
    <row r="243" spans="1:5" ht="12.75">
      <c r="A243" s="148"/>
      <c r="B243" s="148"/>
      <c r="C243" s="148"/>
      <c r="D243" s="148"/>
      <c r="E243" s="149"/>
    </row>
    <row r="244" spans="1:5" ht="12.75">
      <c r="A244" s="148"/>
      <c r="B244" s="148"/>
      <c r="C244" s="148"/>
      <c r="D244" s="148"/>
      <c r="E244" s="149"/>
    </row>
    <row r="245" spans="1:5" ht="12.75">
      <c r="A245" s="148"/>
      <c r="B245" s="148"/>
      <c r="C245" s="148"/>
      <c r="D245" s="148"/>
      <c r="E245" s="149"/>
    </row>
    <row r="246" spans="1:5" ht="12.75">
      <c r="A246" s="148"/>
      <c r="B246" s="148"/>
      <c r="C246" s="148"/>
      <c r="D246" s="148"/>
      <c r="E246" s="149"/>
    </row>
    <row r="247" spans="1:5" ht="12.75">
      <c r="A247" s="148"/>
      <c r="B247" s="148"/>
      <c r="C247" s="148"/>
      <c r="D247" s="148"/>
      <c r="E247" s="149"/>
    </row>
    <row r="248" spans="1:5" ht="12.75">
      <c r="A248" s="148"/>
      <c r="B248" s="148"/>
      <c r="C248" s="148"/>
      <c r="D248" s="148"/>
      <c r="E248" s="149"/>
    </row>
    <row r="249" spans="1:5" ht="12.75">
      <c r="A249" s="148"/>
      <c r="B249" s="148"/>
      <c r="C249" s="148"/>
      <c r="D249" s="148"/>
      <c r="E249" s="149"/>
    </row>
    <row r="250" spans="1:5" ht="12.75">
      <c r="A250" s="148"/>
      <c r="B250" s="148"/>
      <c r="C250" s="148"/>
      <c r="D250" s="148"/>
      <c r="E250" s="149"/>
    </row>
    <row r="251" spans="1:5" ht="12.75">
      <c r="A251" s="148"/>
      <c r="B251" s="148"/>
      <c r="C251" s="148"/>
      <c r="D251" s="148"/>
      <c r="E251" s="149"/>
    </row>
    <row r="252" spans="1:5" ht="12.75">
      <c r="A252" s="148"/>
      <c r="B252" s="148"/>
      <c r="C252" s="148"/>
      <c r="D252" s="148"/>
      <c r="E252" s="149"/>
    </row>
    <row r="253" spans="1:5" ht="12.75">
      <c r="A253" s="148"/>
      <c r="B253" s="148"/>
      <c r="C253" s="148"/>
      <c r="D253" s="148"/>
      <c r="E253" s="149"/>
    </row>
    <row r="254" spans="1:5" ht="12.75">
      <c r="A254" s="148"/>
      <c r="B254" s="148"/>
      <c r="C254" s="148"/>
      <c r="D254" s="148"/>
      <c r="E254" s="149"/>
    </row>
    <row r="255" spans="1:5" ht="12.75">
      <c r="A255" s="148"/>
      <c r="B255" s="148"/>
      <c r="C255" s="148"/>
      <c r="D255" s="148"/>
      <c r="E255" s="149"/>
    </row>
    <row r="256" spans="1:5" ht="12.75">
      <c r="A256" s="148"/>
      <c r="B256" s="148"/>
      <c r="C256" s="148"/>
      <c r="D256" s="148"/>
      <c r="E256" s="149"/>
    </row>
    <row r="257" spans="1:5" ht="12.75">
      <c r="A257" s="148"/>
      <c r="B257" s="148"/>
      <c r="C257" s="148"/>
      <c r="D257" s="148"/>
      <c r="E257" s="149"/>
    </row>
    <row r="258" spans="1:5" ht="12.75">
      <c r="A258" s="148"/>
      <c r="B258" s="148"/>
      <c r="C258" s="148"/>
      <c r="D258" s="148"/>
      <c r="E258" s="149"/>
    </row>
    <row r="259" spans="1:5" ht="12.75">
      <c r="A259" s="148"/>
      <c r="B259" s="148"/>
      <c r="C259" s="148"/>
      <c r="D259" s="148"/>
      <c r="E259" s="149"/>
    </row>
    <row r="260" spans="1:5" ht="12.75">
      <c r="A260" s="148"/>
      <c r="B260" s="148"/>
      <c r="C260" s="148"/>
      <c r="D260" s="148"/>
      <c r="E260" s="149"/>
    </row>
    <row r="261" spans="1:5" ht="12.75">
      <c r="A261" s="148"/>
      <c r="B261" s="148"/>
      <c r="C261" s="148"/>
      <c r="D261" s="148"/>
      <c r="E261" s="149"/>
    </row>
    <row r="262" spans="1:5" ht="12.75">
      <c r="A262" s="148"/>
      <c r="B262" s="148"/>
      <c r="C262" s="148"/>
      <c r="D262" s="148"/>
      <c r="E262" s="149"/>
    </row>
    <row r="263" spans="1:5" ht="12.75">
      <c r="A263" s="148"/>
      <c r="B263" s="148"/>
      <c r="C263" s="148"/>
      <c r="D263" s="148"/>
      <c r="E263" s="149"/>
    </row>
    <row r="264" spans="1:5" ht="12.75">
      <c r="A264" s="148"/>
      <c r="B264" s="148"/>
      <c r="C264" s="148"/>
      <c r="D264" s="148"/>
      <c r="E264" s="149"/>
    </row>
    <row r="265" spans="1:5" ht="12.75">
      <c r="A265" s="148"/>
      <c r="B265" s="148"/>
      <c r="C265" s="148"/>
      <c r="D265" s="148"/>
      <c r="E265" s="149"/>
    </row>
    <row r="266" spans="1:5" ht="12.75">
      <c r="A266" s="148"/>
      <c r="B266" s="148"/>
      <c r="C266" s="148"/>
      <c r="D266" s="148"/>
      <c r="E266" s="149"/>
    </row>
    <row r="267" spans="1:5" ht="12.75">
      <c r="A267" s="148"/>
      <c r="B267" s="148"/>
      <c r="C267" s="148"/>
      <c r="D267" s="148"/>
      <c r="E267" s="149"/>
    </row>
    <row r="268" spans="1:5" ht="12.75">
      <c r="A268" s="148"/>
      <c r="B268" s="148"/>
      <c r="C268" s="148"/>
      <c r="D268" s="148"/>
      <c r="E268" s="149"/>
    </row>
    <row r="269" spans="1:5" ht="12.75">
      <c r="A269" s="148"/>
      <c r="B269" s="148"/>
      <c r="C269" s="148"/>
      <c r="D269" s="148"/>
      <c r="E269" s="149"/>
    </row>
    <row r="270" spans="1:5" ht="12.75">
      <c r="A270" s="148"/>
      <c r="B270" s="148"/>
      <c r="C270" s="148"/>
      <c r="D270" s="148"/>
      <c r="E270" s="149"/>
    </row>
    <row r="271" spans="1:5" ht="12.75">
      <c r="A271" s="148"/>
      <c r="B271" s="148"/>
      <c r="C271" s="148"/>
      <c r="D271" s="148"/>
      <c r="E271" s="149"/>
    </row>
    <row r="272" spans="1:5" ht="12.75">
      <c r="A272" s="148"/>
      <c r="B272" s="148"/>
      <c r="C272" s="148"/>
      <c r="D272" s="148"/>
      <c r="E272" s="149"/>
    </row>
    <row r="273" spans="1:5" ht="12.75">
      <c r="A273" s="148"/>
      <c r="B273" s="148"/>
      <c r="C273" s="148"/>
      <c r="D273" s="148"/>
      <c r="E273" s="149"/>
    </row>
    <row r="274" spans="1:5" ht="12.75">
      <c r="A274" s="148"/>
      <c r="B274" s="148"/>
      <c r="C274" s="148"/>
      <c r="D274" s="148"/>
      <c r="E274" s="149"/>
    </row>
    <row r="275" spans="1:5" ht="12.75">
      <c r="A275" s="148"/>
      <c r="B275" s="148"/>
      <c r="C275" s="148"/>
      <c r="D275" s="148"/>
      <c r="E275" s="149"/>
    </row>
    <row r="276" spans="1:5" ht="12.75">
      <c r="A276" s="148"/>
      <c r="B276" s="148"/>
      <c r="C276" s="148"/>
      <c r="D276" s="148"/>
      <c r="E276" s="149"/>
    </row>
    <row r="277" spans="1:5" ht="12.75">
      <c r="A277" s="148"/>
      <c r="B277" s="148"/>
      <c r="C277" s="148"/>
      <c r="D277" s="148"/>
      <c r="E277" s="149"/>
    </row>
    <row r="278" spans="1:5" ht="12.75">
      <c r="A278" s="148"/>
      <c r="B278" s="148"/>
      <c r="C278" s="148"/>
      <c r="D278" s="148"/>
      <c r="E278" s="149"/>
    </row>
    <row r="279" spans="1:5" ht="12.75">
      <c r="A279" s="148"/>
      <c r="B279" s="148"/>
      <c r="C279" s="148"/>
      <c r="D279" s="148"/>
      <c r="E279" s="149"/>
    </row>
    <row r="280" spans="1:5" ht="12.75">
      <c r="A280" s="148"/>
      <c r="B280" s="148"/>
      <c r="C280" s="148"/>
      <c r="D280" s="148"/>
      <c r="E280" s="149"/>
    </row>
    <row r="281" spans="1:5" ht="12.75">
      <c r="A281" s="148"/>
      <c r="B281" s="148"/>
      <c r="C281" s="148"/>
      <c r="D281" s="148"/>
      <c r="E281" s="149"/>
    </row>
    <row r="282" spans="1:5" ht="12.75">
      <c r="A282" s="148"/>
      <c r="B282" s="148"/>
      <c r="C282" s="148"/>
      <c r="D282" s="148"/>
      <c r="E282" s="149"/>
    </row>
    <row r="283" spans="1:5" ht="12.75">
      <c r="A283" s="148"/>
      <c r="B283" s="148"/>
      <c r="C283" s="148"/>
      <c r="D283" s="148"/>
      <c r="E283" s="149"/>
    </row>
    <row r="284" spans="1:5" ht="12.75">
      <c r="A284" s="148"/>
      <c r="B284" s="148"/>
      <c r="C284" s="148"/>
      <c r="D284" s="148"/>
      <c r="E284" s="149"/>
    </row>
    <row r="285" spans="1:5" ht="12.75">
      <c r="A285" s="148"/>
      <c r="B285" s="148"/>
      <c r="C285" s="148"/>
      <c r="D285" s="148"/>
      <c r="E285" s="149"/>
    </row>
    <row r="286" spans="1:5" ht="12.75">
      <c r="A286" s="148"/>
      <c r="B286" s="148"/>
      <c r="C286" s="148"/>
      <c r="D286" s="148"/>
      <c r="E286" s="149"/>
    </row>
    <row r="287" spans="1:5" ht="12.75">
      <c r="A287" s="148"/>
      <c r="B287" s="148"/>
      <c r="C287" s="148"/>
      <c r="D287" s="148"/>
      <c r="E287" s="149"/>
    </row>
    <row r="288" spans="1:5" ht="12.75">
      <c r="A288" s="148"/>
      <c r="B288" s="148"/>
      <c r="C288" s="148"/>
      <c r="D288" s="148"/>
      <c r="E288" s="149"/>
    </row>
    <row r="289" spans="1:5" ht="12.75">
      <c r="A289" s="148"/>
      <c r="B289" s="148"/>
      <c r="C289" s="148"/>
      <c r="D289" s="148"/>
      <c r="E289" s="149"/>
    </row>
    <row r="290" spans="1:5" ht="12.75">
      <c r="A290" s="148"/>
      <c r="B290" s="148"/>
      <c r="C290" s="148"/>
      <c r="D290" s="148"/>
      <c r="E290" s="149"/>
    </row>
    <row r="291" spans="1:5" ht="12.75">
      <c r="A291" s="148"/>
      <c r="B291" s="148"/>
      <c r="C291" s="148"/>
      <c r="D291" s="148"/>
      <c r="E291" s="149"/>
    </row>
    <row r="292" spans="1:5" ht="12.75">
      <c r="A292" s="148"/>
      <c r="B292" s="148"/>
      <c r="C292" s="148"/>
      <c r="D292" s="148"/>
      <c r="E292" s="149"/>
    </row>
    <row r="293" spans="1:5" ht="12.75">
      <c r="A293" s="148"/>
      <c r="B293" s="148"/>
      <c r="C293" s="148"/>
      <c r="D293" s="148"/>
      <c r="E293" s="149"/>
    </row>
    <row r="294" spans="1:5" ht="12.75">
      <c r="A294" s="148"/>
      <c r="B294" s="148"/>
      <c r="C294" s="148"/>
      <c r="D294" s="148"/>
      <c r="E294" s="149"/>
    </row>
    <row r="295" spans="1:5" ht="12.75">
      <c r="A295" s="148"/>
      <c r="B295" s="148"/>
      <c r="C295" s="148"/>
      <c r="D295" s="148"/>
      <c r="E295" s="149"/>
    </row>
    <row r="296" spans="1:5" ht="12.75">
      <c r="A296" s="148"/>
      <c r="B296" s="148"/>
      <c r="C296" s="148"/>
      <c r="D296" s="148"/>
      <c r="E296" s="149"/>
    </row>
    <row r="297" spans="1:5" ht="12.75">
      <c r="A297" s="148"/>
      <c r="B297" s="148"/>
      <c r="C297" s="148"/>
      <c r="D297" s="148"/>
      <c r="E297" s="149"/>
    </row>
    <row r="298" spans="1:5" ht="12.75">
      <c r="A298" s="148"/>
      <c r="B298" s="148"/>
      <c r="C298" s="148"/>
      <c r="D298" s="148"/>
      <c r="E298" s="149"/>
    </row>
    <row r="299" spans="1:5" ht="12.75">
      <c r="A299" s="148"/>
      <c r="B299" s="148"/>
      <c r="C299" s="148"/>
      <c r="D299" s="148"/>
      <c r="E299" s="149"/>
    </row>
    <row r="300" spans="1:5" ht="12.75">
      <c r="A300" s="148"/>
      <c r="B300" s="148"/>
      <c r="C300" s="148"/>
      <c r="D300" s="148"/>
      <c r="E300" s="149"/>
    </row>
    <row r="301" spans="1:5" ht="12.75">
      <c r="A301" s="148"/>
      <c r="B301" s="148"/>
      <c r="C301" s="148"/>
      <c r="D301" s="148"/>
      <c r="E301" s="149"/>
    </row>
    <row r="302" spans="1:5" ht="12.75">
      <c r="A302" s="148"/>
      <c r="B302" s="148"/>
      <c r="C302" s="148"/>
      <c r="D302" s="148"/>
      <c r="E302" s="149"/>
    </row>
    <row r="303" spans="1:5" ht="12.75">
      <c r="A303" s="148"/>
      <c r="B303" s="148"/>
      <c r="C303" s="148"/>
      <c r="D303" s="148"/>
      <c r="E303" s="149"/>
    </row>
    <row r="304" spans="1:5" ht="12.75">
      <c r="A304" s="148"/>
      <c r="B304" s="148"/>
      <c r="C304" s="148"/>
      <c r="D304" s="148"/>
      <c r="E304" s="149"/>
    </row>
    <row r="305" spans="1:5" ht="12.75">
      <c r="A305" s="148"/>
      <c r="B305" s="148"/>
      <c r="C305" s="148"/>
      <c r="D305" s="148"/>
      <c r="E305" s="149"/>
    </row>
    <row r="306" spans="1:5" ht="12.75">
      <c r="A306" s="148"/>
      <c r="B306" s="148"/>
      <c r="C306" s="148"/>
      <c r="D306" s="148"/>
      <c r="E306" s="149"/>
    </row>
    <row r="307" spans="1:5" ht="12.75">
      <c r="A307" s="148"/>
      <c r="B307" s="148"/>
      <c r="C307" s="148"/>
      <c r="D307" s="148"/>
      <c r="E307" s="149"/>
    </row>
    <row r="308" spans="1:5" ht="12.75">
      <c r="A308" s="148"/>
      <c r="B308" s="148"/>
      <c r="C308" s="148"/>
      <c r="D308" s="148"/>
      <c r="E308" s="149"/>
    </row>
    <row r="309" spans="1:5" ht="12.75">
      <c r="A309" s="148"/>
      <c r="B309" s="148"/>
      <c r="C309" s="148"/>
      <c r="D309" s="148"/>
      <c r="E309" s="149"/>
    </row>
    <row r="310" spans="1:5" ht="12.75">
      <c r="A310" s="148"/>
      <c r="B310" s="148"/>
      <c r="C310" s="148"/>
      <c r="D310" s="148"/>
      <c r="E310" s="149"/>
    </row>
    <row r="311" spans="1:5" ht="12.75">
      <c r="A311" s="148"/>
      <c r="B311" s="148"/>
      <c r="C311" s="148"/>
      <c r="D311" s="148"/>
      <c r="E311" s="149"/>
    </row>
    <row r="312" spans="1:5" ht="12.75">
      <c r="A312" s="148"/>
      <c r="B312" s="148"/>
      <c r="C312" s="148"/>
      <c r="D312" s="148"/>
      <c r="E312" s="149"/>
    </row>
    <row r="313" spans="1:5" ht="12.75">
      <c r="A313" s="148"/>
      <c r="B313" s="148"/>
      <c r="C313" s="148"/>
      <c r="D313" s="148"/>
      <c r="E313" s="149"/>
    </row>
    <row r="314" spans="1:5" ht="12.75">
      <c r="A314" s="148"/>
      <c r="B314" s="148"/>
      <c r="C314" s="148"/>
      <c r="D314" s="148"/>
      <c r="E314" s="149"/>
    </row>
    <row r="315" spans="1:5" ht="12.75">
      <c r="A315" s="148"/>
      <c r="B315" s="148"/>
      <c r="C315" s="148"/>
      <c r="D315" s="148"/>
      <c r="E315" s="149"/>
    </row>
    <row r="316" spans="1:5" ht="12.75">
      <c r="A316" s="148"/>
      <c r="B316" s="148"/>
      <c r="C316" s="148"/>
      <c r="D316" s="148"/>
      <c r="E316" s="149"/>
    </row>
    <row r="317" spans="1:5" ht="12.75">
      <c r="A317" s="148"/>
      <c r="B317" s="148"/>
      <c r="C317" s="148"/>
      <c r="D317" s="148"/>
      <c r="E317" s="149"/>
    </row>
    <row r="318" spans="1:5" ht="12.75">
      <c r="A318" s="148"/>
      <c r="B318" s="148"/>
      <c r="C318" s="148"/>
      <c r="D318" s="148"/>
      <c r="E318" s="149"/>
    </row>
    <row r="319" spans="1:5" ht="12.75">
      <c r="A319" s="148"/>
      <c r="B319" s="148"/>
      <c r="C319" s="148"/>
      <c r="D319" s="148"/>
      <c r="E319" s="149"/>
    </row>
    <row r="320" spans="1:5" ht="12.75">
      <c r="A320" s="148"/>
      <c r="B320" s="148"/>
      <c r="C320" s="148"/>
      <c r="D320" s="148"/>
      <c r="E320" s="149"/>
    </row>
    <row r="321" spans="1:5" ht="12.75">
      <c r="A321" s="148"/>
      <c r="B321" s="148"/>
      <c r="C321" s="148"/>
      <c r="D321" s="148"/>
      <c r="E321" s="149"/>
    </row>
    <row r="322" spans="1:5" ht="12.75">
      <c r="A322" s="148"/>
      <c r="B322" s="148"/>
      <c r="C322" s="148"/>
      <c r="D322" s="148"/>
      <c r="E322" s="149"/>
    </row>
    <row r="323" spans="1:5" ht="12.75">
      <c r="A323" s="148"/>
      <c r="B323" s="148"/>
      <c r="C323" s="148"/>
      <c r="D323" s="148"/>
      <c r="E323" s="149"/>
    </row>
    <row r="324" spans="1:5" ht="12.75">
      <c r="A324" s="148"/>
      <c r="B324" s="148"/>
      <c r="C324" s="148"/>
      <c r="D324" s="148"/>
      <c r="E324" s="149"/>
    </row>
    <row r="325" spans="1:5" ht="12.75">
      <c r="A325" s="148"/>
      <c r="B325" s="148"/>
      <c r="C325" s="148"/>
      <c r="D325" s="148"/>
      <c r="E325" s="149"/>
    </row>
    <row r="326" spans="1:5" ht="12.75">
      <c r="A326" s="148"/>
      <c r="B326" s="148"/>
      <c r="C326" s="148"/>
      <c r="D326" s="148"/>
      <c r="E326" s="149"/>
    </row>
    <row r="327" spans="1:5" ht="12.75">
      <c r="A327" s="148"/>
      <c r="B327" s="148"/>
      <c r="C327" s="148"/>
      <c r="D327" s="148"/>
      <c r="E327" s="149"/>
    </row>
    <row r="328" spans="1:5" ht="12.75">
      <c r="A328" s="148"/>
      <c r="B328" s="148"/>
      <c r="C328" s="148"/>
      <c r="D328" s="148"/>
      <c r="E328" s="149"/>
    </row>
    <row r="329" spans="1:5" ht="12.75">
      <c r="A329" s="148"/>
      <c r="B329" s="148"/>
      <c r="C329" s="148"/>
      <c r="D329" s="148"/>
      <c r="E329" s="149"/>
    </row>
    <row r="330" spans="1:5" ht="12.75">
      <c r="A330" s="148"/>
      <c r="B330" s="148"/>
      <c r="C330" s="148"/>
      <c r="D330" s="148"/>
      <c r="E330" s="149"/>
    </row>
    <row r="331" spans="1:5" ht="12.75">
      <c r="A331" s="148"/>
      <c r="B331" s="148"/>
      <c r="C331" s="148"/>
      <c r="D331" s="148"/>
      <c r="E331" s="149"/>
    </row>
    <row r="332" spans="1:5" ht="12.75">
      <c r="A332" s="148"/>
      <c r="B332" s="148"/>
      <c r="C332" s="148"/>
      <c r="D332" s="148"/>
      <c r="E332" s="149"/>
    </row>
    <row r="333" spans="1:5" ht="12.75">
      <c r="A333" s="148"/>
      <c r="B333" s="148"/>
      <c r="C333" s="148"/>
      <c r="D333" s="148"/>
      <c r="E333" s="149"/>
    </row>
    <row r="334" spans="1:5" ht="12.75">
      <c r="A334" s="148"/>
      <c r="B334" s="148"/>
      <c r="C334" s="148"/>
      <c r="D334" s="148"/>
      <c r="E334" s="149"/>
    </row>
    <row r="335" spans="1:5" ht="12.75">
      <c r="A335" s="148"/>
      <c r="B335" s="148"/>
      <c r="C335" s="148"/>
      <c r="D335" s="148"/>
      <c r="E335" s="149"/>
    </row>
    <row r="336" spans="1:5" ht="12.75">
      <c r="A336" s="148"/>
      <c r="B336" s="148"/>
      <c r="C336" s="148"/>
      <c r="D336" s="148"/>
      <c r="E336" s="149"/>
    </row>
    <row r="337" spans="1:5" ht="12.75">
      <c r="A337" s="148"/>
      <c r="B337" s="148"/>
      <c r="C337" s="148"/>
      <c r="D337" s="148"/>
      <c r="E337" s="149"/>
    </row>
    <row r="338" spans="1:5" ht="12.75">
      <c r="A338" s="148"/>
      <c r="B338" s="148"/>
      <c r="C338" s="148"/>
      <c r="D338" s="148"/>
      <c r="E338" s="149"/>
    </row>
    <row r="339" spans="1:5" ht="12.75">
      <c r="A339" s="148"/>
      <c r="B339" s="148"/>
      <c r="C339" s="148"/>
      <c r="D339" s="148"/>
      <c r="E339" s="149"/>
    </row>
    <row r="340" spans="1:5" ht="12.75">
      <c r="A340" s="148"/>
      <c r="B340" s="148"/>
      <c r="C340" s="148"/>
      <c r="D340" s="148"/>
      <c r="E340" s="149"/>
    </row>
    <row r="341" spans="1:5" ht="12.75">
      <c r="A341" s="148"/>
      <c r="B341" s="148"/>
      <c r="C341" s="148"/>
      <c r="D341" s="148"/>
      <c r="E341" s="149"/>
    </row>
    <row r="342" spans="1:5" ht="12.75">
      <c r="A342" s="148"/>
      <c r="B342" s="148"/>
      <c r="C342" s="148"/>
      <c r="D342" s="148"/>
      <c r="E342" s="149"/>
    </row>
    <row r="343" spans="1:5" ht="12.75">
      <c r="A343" s="148"/>
      <c r="B343" s="148"/>
      <c r="C343" s="148"/>
      <c r="D343" s="148"/>
      <c r="E343" s="149"/>
    </row>
    <row r="344" spans="1:5" ht="12.75">
      <c r="A344" s="148"/>
      <c r="B344" s="148"/>
      <c r="C344" s="148"/>
      <c r="D344" s="148"/>
      <c r="E344" s="149"/>
    </row>
    <row r="345" spans="1:5" ht="12.75">
      <c r="A345" s="148"/>
      <c r="B345" s="148"/>
      <c r="C345" s="148"/>
      <c r="D345" s="148"/>
      <c r="E345" s="149"/>
    </row>
    <row r="346" spans="1:5" ht="12.75">
      <c r="A346" s="148"/>
      <c r="B346" s="148"/>
      <c r="C346" s="148"/>
      <c r="D346" s="148"/>
      <c r="E346" s="149"/>
    </row>
    <row r="347" spans="1:5" ht="12.75">
      <c r="A347" s="148"/>
      <c r="B347" s="148"/>
      <c r="C347" s="148"/>
      <c r="D347" s="148"/>
      <c r="E347" s="149"/>
    </row>
    <row r="348" spans="1:5" ht="12.75">
      <c r="A348" s="148"/>
      <c r="B348" s="148"/>
      <c r="C348" s="148"/>
      <c r="D348" s="148"/>
      <c r="E348" s="149"/>
    </row>
    <row r="349" spans="1:5" ht="12.75">
      <c r="A349" s="148"/>
      <c r="B349" s="148"/>
      <c r="C349" s="148"/>
      <c r="D349" s="148"/>
      <c r="E349" s="149"/>
    </row>
    <row r="350" spans="1:5" ht="12.75">
      <c r="A350" s="148"/>
      <c r="B350" s="148"/>
      <c r="C350" s="148"/>
      <c r="D350" s="148"/>
      <c r="E350" s="149"/>
    </row>
    <row r="351" spans="1:5" ht="12.75">
      <c r="A351" s="148"/>
      <c r="B351" s="148"/>
      <c r="C351" s="148"/>
      <c r="D351" s="148"/>
      <c r="E351" s="149"/>
    </row>
    <row r="352" spans="1:5" ht="12.75">
      <c r="A352" s="148"/>
      <c r="B352" s="148"/>
      <c r="C352" s="148"/>
      <c r="D352" s="148"/>
      <c r="E352" s="149"/>
    </row>
    <row r="353" spans="1:5" ht="12.75">
      <c r="A353" s="148"/>
      <c r="B353" s="148"/>
      <c r="C353" s="148"/>
      <c r="D353" s="148"/>
      <c r="E353" s="149"/>
    </row>
    <row r="354" spans="1:5" ht="12.75">
      <c r="A354" s="148"/>
      <c r="B354" s="148"/>
      <c r="C354" s="148"/>
      <c r="D354" s="148"/>
      <c r="E354" s="149"/>
    </row>
    <row r="355" spans="1:5" ht="12.75">
      <c r="A355" s="148"/>
      <c r="B355" s="148"/>
      <c r="C355" s="148"/>
      <c r="D355" s="148"/>
      <c r="E355" s="149"/>
    </row>
    <row r="356" spans="1:5" ht="12.75">
      <c r="A356" s="148"/>
      <c r="B356" s="148"/>
      <c r="C356" s="148"/>
      <c r="D356" s="148"/>
      <c r="E356" s="149"/>
    </row>
    <row r="357" spans="1:5" ht="12.75">
      <c r="A357" s="148"/>
      <c r="B357" s="148"/>
      <c r="C357" s="148"/>
      <c r="D357" s="148"/>
      <c r="E357" s="149"/>
    </row>
    <row r="358" spans="1:5" ht="12.75">
      <c r="A358" s="148"/>
      <c r="B358" s="148"/>
      <c r="C358" s="148"/>
      <c r="D358" s="148"/>
      <c r="E358" s="149"/>
    </row>
    <row r="359" spans="1:5" ht="12.75">
      <c r="A359" s="148"/>
      <c r="B359" s="148"/>
      <c r="C359" s="148"/>
      <c r="D359" s="148"/>
      <c r="E359" s="149"/>
    </row>
    <row r="360" spans="1:5" ht="12.75">
      <c r="A360" s="148"/>
      <c r="B360" s="148"/>
      <c r="C360" s="148"/>
      <c r="D360" s="148"/>
      <c r="E360" s="149"/>
    </row>
    <row r="361" spans="1:5" ht="12.75">
      <c r="A361" s="148"/>
      <c r="B361" s="148"/>
      <c r="C361" s="148"/>
      <c r="D361" s="148"/>
      <c r="E361" s="149"/>
    </row>
    <row r="362" spans="1:5" ht="12.75">
      <c r="A362" s="148"/>
      <c r="B362" s="148"/>
      <c r="C362" s="148"/>
      <c r="D362" s="148"/>
      <c r="E362" s="149"/>
    </row>
    <row r="363" spans="1:5" ht="12.75">
      <c r="A363" s="148"/>
      <c r="B363" s="148"/>
      <c r="C363" s="148"/>
      <c r="D363" s="148"/>
      <c r="E363" s="149"/>
    </row>
    <row r="364" spans="1:5" ht="12.75">
      <c r="A364" s="148"/>
      <c r="B364" s="148"/>
      <c r="C364" s="148"/>
      <c r="D364" s="148"/>
      <c r="E364" s="149"/>
    </row>
    <row r="365" spans="1:5" ht="12.75">
      <c r="A365" s="148"/>
      <c r="B365" s="148"/>
      <c r="C365" s="148"/>
      <c r="D365" s="148"/>
      <c r="E365" s="149"/>
    </row>
    <row r="366" spans="1:5" ht="12.75">
      <c r="A366" s="148"/>
      <c r="B366" s="148"/>
      <c r="C366" s="148"/>
      <c r="D366" s="148"/>
      <c r="E366" s="149"/>
    </row>
    <row r="367" spans="1:5" ht="12.75">
      <c r="A367" s="148"/>
      <c r="B367" s="148"/>
      <c r="C367" s="148"/>
      <c r="D367" s="148"/>
      <c r="E367" s="149"/>
    </row>
    <row r="368" spans="1:5" ht="12.75">
      <c r="A368" s="148"/>
      <c r="B368" s="148"/>
      <c r="C368" s="148"/>
      <c r="D368" s="148"/>
      <c r="E368" s="149"/>
    </row>
    <row r="369" spans="1:5" ht="12.75">
      <c r="A369" s="148"/>
      <c r="B369" s="148"/>
      <c r="C369" s="148"/>
      <c r="D369" s="148"/>
      <c r="E369" s="149"/>
    </row>
    <row r="370" spans="1:5" ht="12.75">
      <c r="A370" s="148"/>
      <c r="B370" s="148"/>
      <c r="C370" s="148"/>
      <c r="D370" s="148"/>
      <c r="E370" s="149"/>
    </row>
    <row r="371" spans="1:5" ht="12.75">
      <c r="A371" s="148"/>
      <c r="B371" s="148"/>
      <c r="C371" s="148"/>
      <c r="D371" s="148"/>
      <c r="E371" s="149"/>
    </row>
    <row r="372" spans="1:5" ht="12.75">
      <c r="A372" s="148"/>
      <c r="B372" s="148"/>
      <c r="C372" s="148"/>
      <c r="D372" s="148"/>
      <c r="E372" s="149"/>
    </row>
    <row r="373" spans="1:5" ht="12.75">
      <c r="A373" s="148"/>
      <c r="B373" s="148"/>
      <c r="C373" s="148"/>
      <c r="D373" s="148"/>
      <c r="E373" s="149"/>
    </row>
    <row r="374" spans="1:5" ht="12.75">
      <c r="A374" s="148"/>
      <c r="B374" s="148"/>
      <c r="C374" s="148"/>
      <c r="D374" s="148"/>
      <c r="E374" s="149"/>
    </row>
    <row r="375" spans="1:5" ht="12.75">
      <c r="A375" s="148"/>
      <c r="B375" s="148"/>
      <c r="C375" s="148"/>
      <c r="D375" s="148"/>
      <c r="E375" s="149"/>
    </row>
    <row r="376" spans="1:5" ht="12.75">
      <c r="A376" s="148"/>
      <c r="B376" s="148"/>
      <c r="C376" s="148"/>
      <c r="D376" s="148"/>
      <c r="E376" s="149"/>
    </row>
    <row r="377" spans="1:5" ht="12.75">
      <c r="A377" s="148"/>
      <c r="B377" s="148"/>
      <c r="C377" s="148"/>
      <c r="D377" s="148"/>
      <c r="E377" s="149"/>
    </row>
    <row r="378" spans="1:5" ht="12.75">
      <c r="A378" s="148"/>
      <c r="B378" s="148"/>
      <c r="C378" s="148"/>
      <c r="D378" s="148"/>
      <c r="E378" s="149"/>
    </row>
    <row r="379" spans="1:5" ht="12.75">
      <c r="A379" s="148"/>
      <c r="B379" s="148"/>
      <c r="C379" s="148"/>
      <c r="D379" s="148"/>
      <c r="E379" s="149"/>
    </row>
    <row r="380" spans="1:5" ht="12.75">
      <c r="A380" s="148"/>
      <c r="B380" s="148"/>
      <c r="C380" s="148"/>
      <c r="D380" s="148"/>
      <c r="E380" s="149"/>
    </row>
    <row r="381" spans="1:5" ht="12.75">
      <c r="A381" s="148"/>
      <c r="B381" s="148"/>
      <c r="C381" s="148"/>
      <c r="D381" s="148"/>
      <c r="E381" s="149"/>
    </row>
    <row r="382" spans="1:5" ht="12.75">
      <c r="A382" s="148"/>
      <c r="B382" s="148"/>
      <c r="C382" s="148"/>
      <c r="D382" s="148"/>
      <c r="E382" s="149"/>
    </row>
    <row r="383" spans="1:5" ht="12.75">
      <c r="A383" s="148"/>
      <c r="B383" s="148"/>
      <c r="C383" s="148"/>
      <c r="D383" s="148"/>
      <c r="E383" s="149"/>
    </row>
    <row r="384" spans="1:5" ht="12.75">
      <c r="A384" s="148"/>
      <c r="B384" s="148"/>
      <c r="C384" s="148"/>
      <c r="D384" s="148"/>
      <c r="E384" s="149"/>
    </row>
    <row r="385" spans="1:5" ht="12.75">
      <c r="A385" s="148"/>
      <c r="B385" s="148"/>
      <c r="C385" s="148"/>
      <c r="D385" s="148"/>
      <c r="E385" s="149"/>
    </row>
    <row r="386" spans="1:5" ht="12.75">
      <c r="A386" s="148"/>
      <c r="B386" s="148"/>
      <c r="C386" s="148"/>
      <c r="D386" s="148"/>
      <c r="E386" s="149"/>
    </row>
    <row r="387" spans="1:5" ht="12.75">
      <c r="A387" s="148"/>
      <c r="B387" s="148"/>
      <c r="C387" s="148"/>
      <c r="D387" s="148"/>
      <c r="E387" s="149"/>
    </row>
    <row r="388" spans="1:5" ht="12.75">
      <c r="A388" s="148"/>
      <c r="B388" s="148"/>
      <c r="C388" s="148"/>
      <c r="D388" s="148"/>
      <c r="E388" s="149"/>
    </row>
    <row r="389" spans="1:5" ht="12.75">
      <c r="A389" s="148"/>
      <c r="B389" s="148"/>
      <c r="C389" s="148"/>
      <c r="D389" s="148"/>
      <c r="E389" s="149"/>
    </row>
    <row r="390" spans="1:5" ht="12.75">
      <c r="A390" s="148"/>
      <c r="B390" s="148"/>
      <c r="C390" s="148"/>
      <c r="D390" s="148"/>
      <c r="E390" s="149"/>
    </row>
    <row r="391" spans="1:5" ht="12.75">
      <c r="A391" s="148"/>
      <c r="B391" s="148"/>
      <c r="C391" s="148"/>
      <c r="D391" s="148"/>
      <c r="E391" s="149"/>
    </row>
    <row r="392" spans="1:5" ht="12.75">
      <c r="A392" s="148"/>
      <c r="B392" s="148"/>
      <c r="C392" s="148"/>
      <c r="D392" s="148"/>
      <c r="E392" s="149"/>
    </row>
    <row r="393" spans="1:5" ht="12.75">
      <c r="A393" s="148"/>
      <c r="B393" s="148"/>
      <c r="C393" s="148"/>
      <c r="D393" s="148"/>
      <c r="E393" s="149"/>
    </row>
    <row r="394" spans="1:5" ht="12.75">
      <c r="A394" s="148"/>
      <c r="B394" s="148"/>
      <c r="C394" s="148"/>
      <c r="D394" s="148"/>
      <c r="E394" s="149"/>
    </row>
    <row r="395" spans="1:5" ht="12.75">
      <c r="A395" s="148"/>
      <c r="B395" s="148"/>
      <c r="C395" s="148"/>
      <c r="D395" s="148"/>
      <c r="E395" s="149"/>
    </row>
    <row r="396" spans="1:5" ht="12.75">
      <c r="A396" s="148"/>
      <c r="B396" s="148"/>
      <c r="C396" s="148"/>
      <c r="D396" s="148"/>
      <c r="E396" s="149"/>
    </row>
    <row r="397" spans="1:5" ht="12.75">
      <c r="A397" s="148"/>
      <c r="B397" s="148"/>
      <c r="C397" s="148"/>
      <c r="D397" s="148"/>
      <c r="E397" s="149"/>
    </row>
    <row r="398" spans="1:5" ht="12.75">
      <c r="A398" s="148"/>
      <c r="B398" s="148"/>
      <c r="C398" s="148"/>
      <c r="D398" s="148"/>
      <c r="E398" s="149"/>
    </row>
    <row r="399" spans="1:5" ht="12.75">
      <c r="A399" s="148"/>
      <c r="B399" s="148"/>
      <c r="C399" s="148"/>
      <c r="D399" s="148"/>
      <c r="E399" s="149"/>
    </row>
    <row r="400" spans="1:5" ht="12.75">
      <c r="A400" s="148"/>
      <c r="B400" s="148"/>
      <c r="C400" s="148"/>
      <c r="D400" s="148"/>
      <c r="E400" s="149"/>
    </row>
    <row r="401" spans="1:5" ht="12.75">
      <c r="A401" s="148"/>
      <c r="B401" s="148"/>
      <c r="C401" s="148"/>
      <c r="D401" s="148"/>
      <c r="E401" s="149"/>
    </row>
    <row r="402" spans="1:5" ht="12.75">
      <c r="A402" s="148"/>
      <c r="B402" s="148"/>
      <c r="C402" s="148"/>
      <c r="D402" s="148"/>
      <c r="E402" s="149"/>
    </row>
    <row r="403" spans="1:5" ht="12.75">
      <c r="A403" s="148"/>
      <c r="B403" s="148"/>
      <c r="C403" s="148"/>
      <c r="D403" s="148"/>
      <c r="E403" s="149"/>
    </row>
    <row r="404" spans="1:5" ht="12.75">
      <c r="A404" s="148"/>
      <c r="B404" s="148"/>
      <c r="C404" s="148"/>
      <c r="D404" s="148"/>
      <c r="E404" s="149"/>
    </row>
    <row r="405" spans="1:5" ht="12.75">
      <c r="A405" s="148"/>
      <c r="B405" s="148"/>
      <c r="C405" s="148"/>
      <c r="D405" s="148"/>
      <c r="E405" s="149"/>
    </row>
    <row r="406" spans="1:5" ht="12.75">
      <c r="A406" s="148"/>
      <c r="B406" s="148"/>
      <c r="C406" s="148"/>
      <c r="D406" s="148"/>
      <c r="E406" s="149"/>
    </row>
    <row r="407" spans="1:5" ht="12.75">
      <c r="A407" s="148"/>
      <c r="B407" s="148"/>
      <c r="C407" s="148"/>
      <c r="D407" s="148"/>
      <c r="E407" s="149"/>
    </row>
    <row r="408" spans="1:5" ht="12.75">
      <c r="A408" s="148"/>
      <c r="B408" s="148"/>
      <c r="C408" s="148"/>
      <c r="D408" s="148"/>
      <c r="E408" s="149"/>
    </row>
    <row r="409" spans="1:5" ht="12.75">
      <c r="A409" s="148"/>
      <c r="B409" s="148"/>
      <c r="C409" s="148"/>
      <c r="D409" s="148"/>
      <c r="E409" s="149"/>
    </row>
    <row r="410" spans="1:5" ht="12.75">
      <c r="A410" s="148"/>
      <c r="B410" s="148"/>
      <c r="C410" s="148"/>
      <c r="D410" s="148"/>
      <c r="E410" s="149"/>
    </row>
    <row r="411" spans="1:5" ht="12.75">
      <c r="A411" s="148"/>
      <c r="B411" s="148"/>
      <c r="C411" s="148"/>
      <c r="D411" s="148"/>
      <c r="E411" s="149"/>
    </row>
    <row r="412" spans="1:5" ht="12.75">
      <c r="A412" s="148"/>
      <c r="B412" s="148"/>
      <c r="C412" s="148"/>
      <c r="D412" s="148"/>
      <c r="E412" s="149"/>
    </row>
    <row r="413" spans="1:5" ht="12.75">
      <c r="A413" s="148"/>
      <c r="B413" s="148"/>
      <c r="C413" s="148"/>
      <c r="D413" s="148"/>
      <c r="E413" s="149"/>
    </row>
    <row r="414" spans="1:5" ht="12.75">
      <c r="A414" s="148"/>
      <c r="B414" s="148"/>
      <c r="C414" s="148"/>
      <c r="D414" s="148"/>
      <c r="E414" s="149"/>
    </row>
    <row r="415" spans="1:5" ht="12.75">
      <c r="A415" s="148"/>
      <c r="B415" s="148"/>
      <c r="C415" s="148"/>
      <c r="D415" s="148"/>
      <c r="E415" s="149"/>
    </row>
    <row r="416" spans="1:5" ht="12.75">
      <c r="A416" s="148"/>
      <c r="B416" s="148"/>
      <c r="C416" s="148"/>
      <c r="D416" s="148"/>
      <c r="E416" s="149"/>
    </row>
    <row r="417" spans="1:5" ht="12.75">
      <c r="A417" s="148"/>
      <c r="B417" s="148"/>
      <c r="C417" s="148"/>
      <c r="D417" s="148"/>
      <c r="E417" s="149"/>
    </row>
    <row r="418" spans="1:5" ht="12.75">
      <c r="A418" s="148"/>
      <c r="B418" s="148"/>
      <c r="C418" s="148"/>
      <c r="D418" s="148"/>
      <c r="E418" s="149"/>
    </row>
    <row r="419" spans="1:5" ht="12.75">
      <c r="A419" s="148"/>
      <c r="B419" s="148"/>
      <c r="C419" s="148"/>
      <c r="D419" s="148"/>
      <c r="E419" s="149"/>
    </row>
    <row r="420" spans="1:5" ht="12.75">
      <c r="A420" s="148"/>
      <c r="B420" s="148"/>
      <c r="C420" s="148"/>
      <c r="D420" s="148"/>
      <c r="E420" s="149"/>
    </row>
    <row r="421" spans="1:5" ht="12.75">
      <c r="A421" s="148"/>
      <c r="B421" s="148"/>
      <c r="C421" s="148"/>
      <c r="D421" s="148"/>
      <c r="E421" s="149"/>
    </row>
    <row r="422" spans="1:5" ht="12.75">
      <c r="A422" s="148"/>
      <c r="B422" s="148"/>
      <c r="C422" s="148"/>
      <c r="D422" s="148"/>
      <c r="E422" s="149"/>
    </row>
    <row r="423" spans="1:5" ht="12.75">
      <c r="A423" s="148"/>
      <c r="B423" s="148"/>
      <c r="C423" s="148"/>
      <c r="D423" s="148"/>
      <c r="E423" s="149"/>
    </row>
    <row r="424" spans="1:5" ht="12.75">
      <c r="A424" s="148"/>
      <c r="B424" s="148"/>
      <c r="C424" s="148"/>
      <c r="D424" s="148"/>
      <c r="E424" s="149"/>
    </row>
    <row r="425" spans="1:5" ht="12.75">
      <c r="A425" s="148"/>
      <c r="B425" s="148"/>
      <c r="C425" s="148"/>
      <c r="D425" s="148"/>
      <c r="E425" s="149"/>
    </row>
    <row r="426" spans="1:5" ht="12.75">
      <c r="A426" s="148"/>
      <c r="B426" s="148"/>
      <c r="C426" s="148"/>
      <c r="D426" s="148"/>
      <c r="E426" s="149"/>
    </row>
    <row r="427" spans="1:5" ht="12.75">
      <c r="A427" s="148"/>
      <c r="B427" s="148"/>
      <c r="C427" s="148"/>
      <c r="D427" s="148"/>
      <c r="E427" s="149"/>
    </row>
    <row r="428" spans="1:5" ht="12.75">
      <c r="A428" s="148"/>
      <c r="B428" s="148"/>
      <c r="C428" s="148"/>
      <c r="D428" s="148"/>
      <c r="E428" s="149"/>
    </row>
    <row r="429" spans="1:5" ht="12.75">
      <c r="A429" s="148"/>
      <c r="B429" s="148"/>
      <c r="C429" s="148"/>
      <c r="D429" s="148"/>
      <c r="E429" s="149"/>
    </row>
    <row r="430" spans="1:5" ht="12.75">
      <c r="A430" s="148"/>
      <c r="B430" s="148"/>
      <c r="C430" s="148"/>
      <c r="D430" s="148"/>
      <c r="E430" s="149"/>
    </row>
    <row r="431" spans="1:5" ht="12.75">
      <c r="A431" s="148"/>
      <c r="B431" s="148"/>
      <c r="C431" s="148"/>
      <c r="D431" s="148"/>
      <c r="E431" s="149"/>
    </row>
    <row r="432" spans="1:5" ht="12.75">
      <c r="A432" s="148"/>
      <c r="B432" s="148"/>
      <c r="C432" s="148"/>
      <c r="D432" s="148"/>
      <c r="E432" s="149"/>
    </row>
    <row r="433" spans="1:5" ht="12.75">
      <c r="A433" s="148"/>
      <c r="B433" s="148"/>
      <c r="C433" s="148"/>
      <c r="D433" s="148"/>
      <c r="E433" s="149"/>
    </row>
    <row r="434" spans="1:5" ht="12.75">
      <c r="A434" s="148"/>
      <c r="B434" s="148"/>
      <c r="C434" s="148"/>
      <c r="D434" s="148"/>
      <c r="E434" s="149"/>
    </row>
    <row r="435" spans="1:5" ht="12.75">
      <c r="A435" s="148"/>
      <c r="B435" s="148"/>
      <c r="C435" s="148"/>
      <c r="D435" s="148"/>
      <c r="E435" s="149"/>
    </row>
    <row r="436" spans="1:5" ht="12.75">
      <c r="A436" s="148"/>
      <c r="B436" s="148"/>
      <c r="C436" s="148"/>
      <c r="D436" s="148"/>
      <c r="E436" s="149"/>
    </row>
    <row r="437" spans="1:5" ht="12.75">
      <c r="A437" s="148"/>
      <c r="B437" s="148"/>
      <c r="C437" s="148"/>
      <c r="D437" s="148"/>
      <c r="E437" s="149"/>
    </row>
    <row r="438" spans="1:5" ht="12.75">
      <c r="A438" s="148"/>
      <c r="B438" s="148"/>
      <c r="C438" s="148"/>
      <c r="D438" s="148"/>
      <c r="E438" s="149"/>
    </row>
    <row r="439" spans="1:5" ht="12.75">
      <c r="A439" s="148"/>
      <c r="B439" s="148"/>
      <c r="C439" s="148"/>
      <c r="D439" s="148"/>
      <c r="E439" s="149"/>
    </row>
    <row r="440" spans="1:5" ht="12.75">
      <c r="A440" s="148"/>
      <c r="B440" s="148"/>
      <c r="C440" s="148"/>
      <c r="D440" s="148"/>
      <c r="E440" s="149"/>
    </row>
    <row r="441" spans="1:5" ht="12.75">
      <c r="A441" s="148"/>
      <c r="B441" s="148"/>
      <c r="C441" s="148"/>
      <c r="D441" s="148"/>
      <c r="E441" s="149"/>
    </row>
    <row r="442" spans="1:5" ht="12.75">
      <c r="A442" s="148"/>
      <c r="B442" s="148"/>
      <c r="C442" s="148"/>
      <c r="D442" s="148"/>
      <c r="E442" s="149"/>
    </row>
    <row r="443" spans="1:5" ht="12.75">
      <c r="A443" s="148"/>
      <c r="B443" s="148"/>
      <c r="C443" s="148"/>
      <c r="D443" s="148"/>
      <c r="E443" s="149"/>
    </row>
    <row r="444" spans="1:5" ht="12.75">
      <c r="A444" s="148"/>
      <c r="B444" s="148"/>
      <c r="C444" s="148"/>
      <c r="D444" s="148"/>
      <c r="E444" s="149"/>
    </row>
    <row r="445" spans="1:5" ht="12.75">
      <c r="A445" s="148"/>
      <c r="B445" s="148"/>
      <c r="C445" s="148"/>
      <c r="D445" s="148"/>
      <c r="E445" s="149"/>
    </row>
    <row r="446" spans="1:5" ht="12.75">
      <c r="A446" s="148"/>
      <c r="B446" s="148"/>
      <c r="C446" s="148"/>
      <c r="D446" s="148"/>
      <c r="E446" s="149"/>
    </row>
    <row r="447" spans="1:5" ht="12.75">
      <c r="A447" s="148"/>
      <c r="B447" s="148"/>
      <c r="C447" s="148"/>
      <c r="D447" s="148"/>
      <c r="E447" s="149"/>
    </row>
    <row r="448" spans="1:5" ht="12.75">
      <c r="A448" s="148"/>
      <c r="B448" s="148"/>
      <c r="C448" s="148"/>
      <c r="D448" s="148"/>
      <c r="E448" s="149"/>
    </row>
    <row r="449" spans="1:5" ht="12.75">
      <c r="A449" s="148"/>
      <c r="B449" s="148"/>
      <c r="C449" s="148"/>
      <c r="D449" s="148"/>
      <c r="E449" s="149"/>
    </row>
    <row r="450" spans="1:5" ht="12.75">
      <c r="A450" s="148"/>
      <c r="B450" s="148"/>
      <c r="C450" s="148"/>
      <c r="D450" s="148"/>
      <c r="E450" s="149"/>
    </row>
    <row r="451" spans="1:5" ht="12.75">
      <c r="A451" s="148"/>
      <c r="B451" s="148"/>
      <c r="C451" s="148"/>
      <c r="D451" s="148"/>
      <c r="E451" s="149"/>
    </row>
    <row r="452" spans="1:5" ht="12.75">
      <c r="A452" s="148"/>
      <c r="B452" s="148"/>
      <c r="C452" s="148"/>
      <c r="D452" s="148"/>
      <c r="E452" s="149"/>
    </row>
    <row r="453" spans="1:5" ht="12.75">
      <c r="A453" s="148"/>
      <c r="B453" s="148"/>
      <c r="C453" s="148"/>
      <c r="D453" s="148"/>
      <c r="E453" s="149"/>
    </row>
    <row r="454" spans="1:5" ht="12.75">
      <c r="A454" s="148"/>
      <c r="B454" s="148"/>
      <c r="C454" s="148"/>
      <c r="D454" s="148"/>
      <c r="E454" s="149"/>
    </row>
    <row r="455" spans="1:5" ht="12.75">
      <c r="A455" s="148"/>
      <c r="B455" s="148"/>
      <c r="C455" s="148"/>
      <c r="D455" s="148"/>
      <c r="E455" s="149"/>
    </row>
    <row r="456" spans="1:5" ht="12.75">
      <c r="A456" s="148"/>
      <c r="B456" s="148"/>
      <c r="C456" s="148"/>
      <c r="D456" s="148"/>
      <c r="E456" s="149"/>
    </row>
    <row r="457" spans="1:5" ht="12.75">
      <c r="A457" s="148"/>
      <c r="B457" s="148"/>
      <c r="C457" s="148"/>
      <c r="D457" s="148"/>
      <c r="E457" s="149"/>
    </row>
    <row r="458" spans="1:5" ht="12.75">
      <c r="A458" s="148"/>
      <c r="B458" s="148"/>
      <c r="C458" s="148"/>
      <c r="D458" s="148"/>
      <c r="E458" s="149"/>
    </row>
    <row r="459" spans="1:5" ht="12.75">
      <c r="A459" s="148"/>
      <c r="B459" s="148"/>
      <c r="C459" s="148"/>
      <c r="D459" s="148"/>
      <c r="E459" s="149"/>
    </row>
    <row r="460" spans="1:5" ht="12.75">
      <c r="A460" s="148"/>
      <c r="B460" s="148"/>
      <c r="C460" s="148"/>
      <c r="D460" s="148"/>
      <c r="E460" s="149"/>
    </row>
    <row r="461" spans="1:5" ht="12.75">
      <c r="A461" s="148"/>
      <c r="B461" s="148"/>
      <c r="C461" s="148"/>
      <c r="D461" s="148"/>
      <c r="E461" s="149"/>
    </row>
    <row r="462" spans="1:5" ht="12.75">
      <c r="A462" s="148"/>
      <c r="B462" s="148"/>
      <c r="C462" s="148"/>
      <c r="D462" s="148"/>
      <c r="E462" s="149"/>
    </row>
    <row r="463" spans="1:5" ht="12.75">
      <c r="A463" s="148"/>
      <c r="B463" s="148"/>
      <c r="C463" s="148"/>
      <c r="D463" s="148"/>
      <c r="E463" s="149"/>
    </row>
    <row r="464" spans="1:5" ht="12.75">
      <c r="A464" s="148"/>
      <c r="B464" s="148"/>
      <c r="C464" s="148"/>
      <c r="D464" s="148"/>
      <c r="E464" s="149"/>
    </row>
    <row r="465" spans="1:5" ht="12.75">
      <c r="A465" s="148"/>
      <c r="B465" s="148"/>
      <c r="C465" s="148"/>
      <c r="D465" s="148"/>
      <c r="E465" s="149"/>
    </row>
    <row r="466" spans="1:5" ht="12.75">
      <c r="A466" s="148"/>
      <c r="B466" s="148"/>
      <c r="C466" s="148"/>
      <c r="D466" s="148"/>
      <c r="E466" s="149"/>
    </row>
    <row r="467" spans="1:5" ht="12.75">
      <c r="A467" s="148"/>
      <c r="B467" s="148"/>
      <c r="C467" s="148"/>
      <c r="D467" s="148"/>
      <c r="E467" s="149"/>
    </row>
    <row r="468" spans="1:5" ht="12.75">
      <c r="A468" s="148"/>
      <c r="B468" s="148"/>
      <c r="C468" s="148"/>
      <c r="D468" s="148"/>
      <c r="E468" s="149"/>
    </row>
    <row r="469" spans="1:5" ht="12.75">
      <c r="A469" s="148"/>
      <c r="B469" s="148"/>
      <c r="C469" s="148"/>
      <c r="D469" s="148"/>
      <c r="E469" s="149"/>
    </row>
    <row r="470" spans="1:5" ht="12.75">
      <c r="A470" s="148"/>
      <c r="B470" s="148"/>
      <c r="C470" s="148"/>
      <c r="D470" s="148"/>
      <c r="E470" s="149"/>
    </row>
    <row r="471" spans="1:5" ht="12.75">
      <c r="A471" s="148"/>
      <c r="B471" s="148"/>
      <c r="C471" s="148"/>
      <c r="D471" s="148"/>
      <c r="E471" s="149"/>
    </row>
    <row r="472" spans="1:5" ht="12.75">
      <c r="A472" s="148"/>
      <c r="B472" s="148"/>
      <c r="C472" s="148"/>
      <c r="D472" s="148"/>
      <c r="E472" s="149"/>
    </row>
    <row r="473" spans="1:5" ht="12.75">
      <c r="A473" s="148"/>
      <c r="B473" s="148"/>
      <c r="C473" s="148"/>
      <c r="D473" s="148"/>
      <c r="E473" s="149"/>
    </row>
    <row r="474" spans="1:5" ht="12.75">
      <c r="A474" s="148"/>
      <c r="B474" s="148"/>
      <c r="C474" s="148"/>
      <c r="D474" s="148"/>
      <c r="E474" s="149"/>
    </row>
    <row r="475" spans="1:5" ht="12.75">
      <c r="A475" s="148"/>
      <c r="B475" s="148"/>
      <c r="C475" s="148"/>
      <c r="D475" s="148"/>
      <c r="E475" s="149"/>
    </row>
    <row r="476" spans="1:5" ht="12.75">
      <c r="A476" s="148"/>
      <c r="B476" s="148"/>
      <c r="C476" s="148"/>
      <c r="D476" s="148"/>
      <c r="E476" s="149"/>
    </row>
    <row r="477" spans="1:5" ht="12.75">
      <c r="A477" s="148"/>
      <c r="B477" s="148"/>
      <c r="C477" s="148"/>
      <c r="D477" s="148"/>
      <c r="E477" s="149"/>
    </row>
    <row r="478" spans="1:5" ht="12.75">
      <c r="A478" s="148"/>
      <c r="B478" s="148"/>
      <c r="C478" s="148"/>
      <c r="D478" s="148"/>
      <c r="E478" s="149"/>
    </row>
    <row r="479" spans="1:5" ht="12.75">
      <c r="A479" s="148"/>
      <c r="B479" s="148"/>
      <c r="C479" s="148"/>
      <c r="D479" s="148"/>
      <c r="E479" s="149"/>
    </row>
    <row r="480" spans="1:5" ht="12.75">
      <c r="A480" s="148"/>
      <c r="B480" s="148"/>
      <c r="C480" s="148"/>
      <c r="D480" s="148"/>
      <c r="E480" s="149"/>
    </row>
    <row r="481" spans="1:5" ht="12.75">
      <c r="A481" s="148"/>
      <c r="B481" s="148"/>
      <c r="C481" s="148"/>
      <c r="D481" s="148"/>
      <c r="E481" s="149"/>
    </row>
    <row r="482" spans="1:5" ht="12.75">
      <c r="A482" s="148"/>
      <c r="B482" s="148"/>
      <c r="C482" s="148"/>
      <c r="D482" s="148"/>
      <c r="E482" s="149"/>
    </row>
    <row r="483" spans="1:5" ht="12.75">
      <c r="A483" s="148"/>
      <c r="B483" s="148"/>
      <c r="C483" s="148"/>
      <c r="D483" s="148"/>
      <c r="E483" s="149"/>
    </row>
    <row r="484" spans="1:5" ht="12.75">
      <c r="A484" s="148"/>
      <c r="B484" s="148"/>
      <c r="C484" s="148"/>
      <c r="D484" s="148"/>
      <c r="E484" s="149"/>
    </row>
    <row r="485" spans="1:5" ht="12.75">
      <c r="A485" s="148"/>
      <c r="B485" s="148"/>
      <c r="C485" s="148"/>
      <c r="D485" s="148"/>
      <c r="E485" s="149"/>
    </row>
    <row r="486" spans="1:5" ht="12.75">
      <c r="A486" s="148"/>
      <c r="B486" s="148"/>
      <c r="C486" s="148"/>
      <c r="D486" s="148"/>
      <c r="E486" s="149"/>
    </row>
    <row r="487" spans="1:5" ht="12.75">
      <c r="A487" s="148"/>
      <c r="B487" s="148"/>
      <c r="C487" s="148"/>
      <c r="D487" s="148"/>
      <c r="E487" s="149"/>
    </row>
    <row r="488" spans="1:5" ht="12.75">
      <c r="A488" s="148"/>
      <c r="B488" s="148"/>
      <c r="C488" s="148"/>
      <c r="D488" s="148"/>
      <c r="E488" s="149"/>
    </row>
    <row r="489" spans="1:5" ht="12.75">
      <c r="A489" s="148"/>
      <c r="B489" s="148"/>
      <c r="C489" s="148"/>
      <c r="D489" s="148"/>
      <c r="E489" s="149"/>
    </row>
    <row r="490" spans="1:5" ht="12.75">
      <c r="A490" s="148"/>
      <c r="B490" s="148"/>
      <c r="C490" s="148"/>
      <c r="D490" s="148"/>
      <c r="E490" s="149"/>
    </row>
    <row r="491" spans="1:5" ht="12.75">
      <c r="A491" s="148"/>
      <c r="B491" s="148"/>
      <c r="C491" s="148"/>
      <c r="D491" s="148"/>
      <c r="E491" s="149"/>
    </row>
    <row r="492" spans="1:5" ht="12.75">
      <c r="A492" s="148"/>
      <c r="B492" s="148"/>
      <c r="C492" s="148"/>
      <c r="D492" s="148"/>
      <c r="E492" s="149"/>
    </row>
    <row r="493" spans="1:5" ht="12.75">
      <c r="A493" s="148"/>
      <c r="B493" s="148"/>
      <c r="C493" s="148"/>
      <c r="D493" s="148"/>
      <c r="E493" s="149"/>
    </row>
    <row r="494" spans="1:5" ht="12.75">
      <c r="A494" s="148"/>
      <c r="B494" s="148"/>
      <c r="C494" s="148"/>
      <c r="D494" s="148"/>
      <c r="E494" s="149"/>
    </row>
    <row r="495" spans="1:5" ht="12.75">
      <c r="A495" s="148"/>
      <c r="B495" s="148"/>
      <c r="C495" s="148"/>
      <c r="D495" s="148"/>
      <c r="E495" s="149"/>
    </row>
    <row r="496" spans="1:5" ht="12.75">
      <c r="A496" s="148"/>
      <c r="B496" s="148"/>
      <c r="C496" s="148"/>
      <c r="D496" s="148"/>
      <c r="E496" s="149"/>
    </row>
    <row r="497" spans="1:5" ht="12.75">
      <c r="A497" s="148"/>
      <c r="B497" s="148"/>
      <c r="C497" s="148"/>
      <c r="D497" s="148"/>
      <c r="E497" s="149"/>
    </row>
    <row r="498" spans="1:5" ht="12.75">
      <c r="A498" s="148"/>
      <c r="B498" s="148"/>
      <c r="C498" s="148"/>
      <c r="D498" s="148"/>
      <c r="E498" s="149"/>
    </row>
    <row r="499" spans="1:5" ht="12.75">
      <c r="A499" s="148"/>
      <c r="B499" s="148"/>
      <c r="C499" s="148"/>
      <c r="D499" s="148"/>
      <c r="E499" s="149"/>
    </row>
    <row r="500" spans="1:5" ht="12.75">
      <c r="A500" s="148"/>
      <c r="B500" s="148"/>
      <c r="C500" s="148"/>
      <c r="D500" s="148"/>
      <c r="E500" s="149"/>
    </row>
    <row r="501" spans="1:5" ht="12.75">
      <c r="A501" s="148"/>
      <c r="B501" s="148"/>
      <c r="C501" s="148"/>
      <c r="D501" s="148"/>
      <c r="E501" s="149"/>
    </row>
    <row r="502" spans="1:5" ht="12.75">
      <c r="A502" s="148"/>
      <c r="B502" s="148"/>
      <c r="C502" s="148"/>
      <c r="D502" s="148"/>
      <c r="E502" s="149"/>
    </row>
    <row r="503" spans="1:5" ht="12.75">
      <c r="A503" s="148"/>
      <c r="B503" s="148"/>
      <c r="C503" s="148"/>
      <c r="D503" s="148"/>
      <c r="E503" s="149"/>
    </row>
    <row r="504" spans="1:5" ht="12.75">
      <c r="A504" s="148"/>
      <c r="B504" s="148"/>
      <c r="C504" s="148"/>
      <c r="D504" s="148"/>
      <c r="E504" s="149"/>
    </row>
    <row r="505" spans="1:5" ht="12.75">
      <c r="A505" s="148"/>
      <c r="B505" s="148"/>
      <c r="C505" s="148"/>
      <c r="D505" s="148"/>
      <c r="E505" s="149"/>
    </row>
    <row r="506" spans="1:5" ht="12.75">
      <c r="A506" s="148"/>
      <c r="B506" s="148"/>
      <c r="C506" s="148"/>
      <c r="D506" s="148"/>
      <c r="E506" s="149"/>
    </row>
    <row r="507" spans="1:5" ht="12.75">
      <c r="A507" s="148"/>
      <c r="B507" s="148"/>
      <c r="C507" s="148"/>
      <c r="D507" s="148"/>
      <c r="E507" s="149"/>
    </row>
    <row r="508" spans="1:5" ht="12.75">
      <c r="A508" s="148"/>
      <c r="B508" s="148"/>
      <c r="C508" s="148"/>
      <c r="D508" s="148"/>
      <c r="E508" s="149"/>
    </row>
    <row r="509" spans="1:5" ht="12.75">
      <c r="A509" s="148"/>
      <c r="B509" s="148"/>
      <c r="C509" s="148"/>
      <c r="D509" s="148"/>
      <c r="E509" s="149"/>
    </row>
    <row r="510" spans="1:5" ht="12.75">
      <c r="A510" s="148"/>
      <c r="B510" s="148"/>
      <c r="C510" s="148"/>
      <c r="D510" s="148"/>
      <c r="E510" s="149"/>
    </row>
    <row r="511" spans="1:5" ht="12.75">
      <c r="A511" s="148"/>
      <c r="B511" s="148"/>
      <c r="C511" s="148"/>
      <c r="D511" s="148"/>
      <c r="E511" s="149"/>
    </row>
    <row r="512" spans="1:5" ht="12.75">
      <c r="A512" s="148"/>
      <c r="B512" s="148"/>
      <c r="C512" s="148"/>
      <c r="D512" s="148"/>
      <c r="E512" s="149"/>
    </row>
    <row r="513" spans="1:5" ht="12.75">
      <c r="A513" s="148"/>
      <c r="B513" s="148"/>
      <c r="C513" s="148"/>
      <c r="D513" s="148"/>
      <c r="E513" s="149"/>
    </row>
    <row r="514" spans="1:5" ht="12.75">
      <c r="A514" s="148"/>
      <c r="B514" s="148"/>
      <c r="C514" s="148"/>
      <c r="D514" s="148"/>
      <c r="E514" s="149"/>
    </row>
    <row r="515" spans="1:5" ht="12.75">
      <c r="A515" s="148"/>
      <c r="B515" s="148"/>
      <c r="C515" s="148"/>
      <c r="D515" s="148"/>
      <c r="E515" s="149"/>
    </row>
    <row r="516" spans="1:5" ht="12.75">
      <c r="A516" s="148"/>
      <c r="B516" s="148"/>
      <c r="C516" s="148"/>
      <c r="D516" s="148"/>
      <c r="E516" s="149"/>
    </row>
    <row r="517" spans="1:5" ht="12.75">
      <c r="A517" s="148"/>
      <c r="B517" s="148"/>
      <c r="C517" s="148"/>
      <c r="D517" s="148"/>
      <c r="E517" s="149"/>
    </row>
    <row r="518" spans="1:5" ht="12.75">
      <c r="A518" s="148"/>
      <c r="B518" s="148"/>
      <c r="C518" s="148"/>
      <c r="D518" s="148"/>
      <c r="E518" s="149"/>
    </row>
    <row r="519" spans="1:5" ht="12.75">
      <c r="A519" s="148"/>
      <c r="B519" s="148"/>
      <c r="C519" s="148"/>
      <c r="D519" s="148"/>
      <c r="E519" s="149"/>
    </row>
    <row r="520" spans="1:5" ht="12.75">
      <c r="A520" s="148"/>
      <c r="B520" s="148"/>
      <c r="C520" s="148"/>
      <c r="D520" s="148"/>
      <c r="E520" s="149"/>
    </row>
    <row r="521" spans="1:5" ht="12.75">
      <c r="A521" s="148"/>
      <c r="B521" s="148"/>
      <c r="C521" s="148"/>
      <c r="D521" s="148"/>
      <c r="E521" s="149"/>
    </row>
    <row r="522" spans="1:5" ht="12.75">
      <c r="A522" s="148"/>
      <c r="B522" s="148"/>
      <c r="C522" s="148"/>
      <c r="D522" s="148"/>
      <c r="E522" s="149"/>
    </row>
    <row r="523" spans="1:5" ht="12.75">
      <c r="A523" s="148"/>
      <c r="B523" s="148"/>
      <c r="C523" s="148"/>
      <c r="D523" s="148"/>
      <c r="E523" s="149"/>
    </row>
    <row r="524" spans="1:5" ht="12.75">
      <c r="A524" s="148"/>
      <c r="B524" s="148"/>
      <c r="C524" s="148"/>
      <c r="D524" s="148"/>
      <c r="E524" s="149"/>
    </row>
    <row r="525" spans="1:5" ht="12.75">
      <c r="A525" s="148"/>
      <c r="B525" s="148"/>
      <c r="C525" s="148"/>
      <c r="D525" s="148"/>
      <c r="E525" s="149"/>
    </row>
    <row r="526" spans="1:5" ht="12.75">
      <c r="A526" s="148"/>
      <c r="B526" s="148"/>
      <c r="C526" s="148"/>
      <c r="D526" s="148"/>
      <c r="E526" s="149"/>
    </row>
    <row r="527" spans="1:5" ht="12.75">
      <c r="A527" s="148"/>
      <c r="B527" s="148"/>
      <c r="C527" s="148"/>
      <c r="D527" s="148"/>
      <c r="E527" s="149"/>
    </row>
    <row r="528" spans="1:5" ht="12.75">
      <c r="A528" s="148"/>
      <c r="B528" s="148"/>
      <c r="C528" s="148"/>
      <c r="D528" s="148"/>
      <c r="E528" s="149"/>
    </row>
    <row r="529" spans="1:5" ht="12.75">
      <c r="A529" s="148"/>
      <c r="B529" s="148"/>
      <c r="C529" s="148"/>
      <c r="D529" s="148"/>
      <c r="E529" s="149"/>
    </row>
    <row r="530" spans="1:5" ht="12.75">
      <c r="A530" s="148"/>
      <c r="B530" s="148"/>
      <c r="C530" s="148"/>
      <c r="D530" s="148"/>
      <c r="E530" s="149"/>
    </row>
    <row r="531" spans="1:5" ht="12.75">
      <c r="A531" s="148"/>
      <c r="B531" s="148"/>
      <c r="C531" s="148"/>
      <c r="D531" s="148"/>
      <c r="E531" s="149"/>
    </row>
    <row r="532" spans="1:5" ht="12.75">
      <c r="A532" s="148"/>
      <c r="B532" s="148"/>
      <c r="C532" s="148"/>
      <c r="D532" s="148"/>
      <c r="E532" s="149"/>
    </row>
    <row r="533" spans="1:5" ht="12.75">
      <c r="A533" s="148"/>
      <c r="B533" s="148"/>
      <c r="C533" s="148"/>
      <c r="D533" s="148"/>
      <c r="E533" s="149"/>
    </row>
    <row r="534" spans="1:5" ht="12.75">
      <c r="A534" s="148"/>
      <c r="B534" s="148"/>
      <c r="C534" s="148"/>
      <c r="D534" s="148"/>
      <c r="E534" s="149"/>
    </row>
    <row r="535" spans="1:5" ht="12.75">
      <c r="A535" s="148"/>
      <c r="B535" s="148"/>
      <c r="C535" s="148"/>
      <c r="D535" s="148"/>
      <c r="E535" s="149"/>
    </row>
    <row r="536" spans="1:5" ht="12.75">
      <c r="A536" s="148"/>
      <c r="B536" s="148"/>
      <c r="C536" s="148"/>
      <c r="D536" s="148"/>
      <c r="E536" s="149"/>
    </row>
    <row r="537" spans="1:5" ht="12.75">
      <c r="A537" s="148"/>
      <c r="B537" s="148"/>
      <c r="C537" s="148"/>
      <c r="D537" s="148"/>
      <c r="E537" s="149"/>
    </row>
    <row r="538" spans="1:5" ht="12.75">
      <c r="A538" s="148"/>
      <c r="B538" s="148"/>
      <c r="C538" s="148"/>
      <c r="D538" s="148"/>
      <c r="E538" s="149"/>
    </row>
    <row r="539" spans="1:5" ht="12.75">
      <c r="A539" s="148"/>
      <c r="B539" s="148"/>
      <c r="C539" s="148"/>
      <c r="D539" s="148"/>
      <c r="E539" s="149"/>
    </row>
    <row r="540" spans="1:5" ht="12.75">
      <c r="A540" s="148"/>
      <c r="B540" s="148"/>
      <c r="C540" s="148"/>
      <c r="D540" s="148"/>
      <c r="E540" s="149"/>
    </row>
    <row r="541" spans="1:5" ht="12.75">
      <c r="A541" s="148"/>
      <c r="B541" s="148"/>
      <c r="C541" s="148"/>
      <c r="D541" s="148"/>
      <c r="E541" s="149"/>
    </row>
    <row r="542" spans="1:5" ht="12.75">
      <c r="A542" s="148"/>
      <c r="B542" s="148"/>
      <c r="C542" s="148"/>
      <c r="D542" s="148"/>
      <c r="E542" s="149"/>
    </row>
    <row r="543" spans="1:5" ht="12.75">
      <c r="A543" s="148"/>
      <c r="B543" s="148"/>
      <c r="C543" s="148"/>
      <c r="D543" s="148"/>
      <c r="E543" s="149"/>
    </row>
    <row r="544" spans="1:5" ht="12.75">
      <c r="A544" s="148"/>
      <c r="B544" s="148"/>
      <c r="C544" s="148"/>
      <c r="D544" s="148"/>
      <c r="E544" s="149"/>
    </row>
    <row r="545" spans="1:5" ht="12.75">
      <c r="A545" s="148"/>
      <c r="B545" s="148"/>
      <c r="C545" s="148"/>
      <c r="D545" s="148"/>
      <c r="E545" s="149"/>
    </row>
    <row r="546" spans="1:5" ht="12.75">
      <c r="A546" s="148"/>
      <c r="B546" s="148"/>
      <c r="C546" s="148"/>
      <c r="D546" s="148"/>
      <c r="E546" s="149"/>
    </row>
    <row r="547" spans="1:5" ht="12.75">
      <c r="A547" s="148"/>
      <c r="B547" s="148"/>
      <c r="C547" s="148"/>
      <c r="D547" s="148"/>
      <c r="E547" s="149"/>
    </row>
    <row r="548" spans="1:5" ht="12.75">
      <c r="A548" s="148"/>
      <c r="B548" s="148"/>
      <c r="C548" s="148"/>
      <c r="D548" s="148"/>
      <c r="E548" s="149"/>
    </row>
    <row r="549" spans="1:5" ht="12.75">
      <c r="A549" s="148"/>
      <c r="B549" s="148"/>
      <c r="C549" s="148"/>
      <c r="D549" s="148"/>
      <c r="E549" s="149"/>
    </row>
    <row r="550" spans="1:5" ht="12.75">
      <c r="A550" s="148"/>
      <c r="B550" s="148"/>
      <c r="C550" s="148"/>
      <c r="D550" s="148"/>
      <c r="E550" s="149"/>
    </row>
    <row r="551" spans="1:5" ht="12.75">
      <c r="A551" s="148"/>
      <c r="B551" s="148"/>
      <c r="C551" s="148"/>
      <c r="D551" s="148"/>
      <c r="E551" s="149"/>
    </row>
    <row r="552" spans="1:5" ht="12.75">
      <c r="A552" s="148"/>
      <c r="B552" s="148"/>
      <c r="C552" s="148"/>
      <c r="D552" s="148"/>
      <c r="E552" s="149"/>
    </row>
    <row r="553" spans="1:5" ht="12.75">
      <c r="A553" s="148"/>
      <c r="B553" s="148"/>
      <c r="C553" s="148"/>
      <c r="D553" s="148"/>
      <c r="E553" s="149"/>
    </row>
    <row r="554" spans="1:5" ht="12.75">
      <c r="A554" s="148"/>
      <c r="B554" s="148"/>
      <c r="C554" s="148"/>
      <c r="D554" s="148"/>
      <c r="E554" s="149"/>
    </row>
    <row r="555" spans="1:5" ht="12.75">
      <c r="A555" s="148"/>
      <c r="B555" s="148"/>
      <c r="C555" s="148"/>
      <c r="D555" s="148"/>
      <c r="E555" s="149"/>
    </row>
    <row r="556" spans="1:5" ht="12.75">
      <c r="A556" s="148"/>
      <c r="B556" s="148"/>
      <c r="C556" s="148"/>
      <c r="D556" s="148"/>
      <c r="E556" s="149"/>
    </row>
    <row r="557" spans="1:5" ht="12.75">
      <c r="A557" s="148"/>
      <c r="B557" s="148"/>
      <c r="C557" s="148"/>
      <c r="D557" s="148"/>
      <c r="E557" s="149"/>
    </row>
    <row r="558" spans="1:5" ht="12.75">
      <c r="A558" s="148"/>
      <c r="B558" s="148"/>
      <c r="C558" s="148"/>
      <c r="D558" s="148"/>
      <c r="E558" s="149"/>
    </row>
    <row r="559" spans="1:5" ht="12.75">
      <c r="A559" s="148"/>
      <c r="B559" s="148"/>
      <c r="C559" s="148"/>
      <c r="D559" s="148"/>
      <c r="E559" s="149"/>
    </row>
    <row r="560" spans="1:5" ht="12.75">
      <c r="A560" s="148"/>
      <c r="B560" s="148"/>
      <c r="C560" s="148"/>
      <c r="D560" s="148"/>
      <c r="E560" s="149"/>
    </row>
    <row r="561" spans="1:5" ht="12.75">
      <c r="A561" s="148"/>
      <c r="B561" s="148"/>
      <c r="C561" s="148"/>
      <c r="D561" s="148"/>
      <c r="E561" s="149"/>
    </row>
    <row r="562" spans="1:5" ht="12.75">
      <c r="A562" s="148"/>
      <c r="B562" s="148"/>
      <c r="C562" s="148"/>
      <c r="D562" s="148"/>
      <c r="E562" s="149"/>
    </row>
    <row r="563" spans="1:5" ht="12.75">
      <c r="A563" s="148"/>
      <c r="B563" s="148"/>
      <c r="C563" s="148"/>
      <c r="D563" s="148"/>
      <c r="E563" s="149"/>
    </row>
    <row r="564" spans="1:5" ht="12.75">
      <c r="A564" s="148"/>
      <c r="B564" s="148"/>
      <c r="C564" s="148"/>
      <c r="D564" s="148"/>
      <c r="E564" s="149"/>
    </row>
    <row r="565" spans="1:5" ht="12.75">
      <c r="A565" s="148"/>
      <c r="B565" s="148"/>
      <c r="C565" s="148"/>
      <c r="D565" s="148"/>
      <c r="E565" s="149"/>
    </row>
    <row r="566" spans="1:5" ht="12.75">
      <c r="A566" s="148"/>
      <c r="B566" s="148"/>
      <c r="C566" s="148"/>
      <c r="D566" s="148"/>
      <c r="E566" s="149"/>
    </row>
    <row r="567" spans="1:5" ht="12.75">
      <c r="A567" s="148"/>
      <c r="B567" s="148"/>
      <c r="C567" s="148"/>
      <c r="D567" s="148"/>
      <c r="E567" s="149"/>
    </row>
    <row r="568" spans="1:5" ht="12.75">
      <c r="A568" s="148"/>
      <c r="B568" s="148"/>
      <c r="C568" s="148"/>
      <c r="D568" s="148"/>
      <c r="E568" s="149"/>
    </row>
    <row r="569" spans="1:5" ht="12.75">
      <c r="A569" s="148"/>
      <c r="B569" s="148"/>
      <c r="C569" s="148"/>
      <c r="D569" s="148"/>
      <c r="E569" s="149"/>
    </row>
    <row r="570" spans="1:5" ht="12.75">
      <c r="A570" s="148"/>
      <c r="B570" s="148"/>
      <c r="C570" s="148"/>
      <c r="D570" s="148"/>
      <c r="E570" s="149"/>
    </row>
    <row r="571" spans="1:5" ht="12.75">
      <c r="A571" s="148"/>
      <c r="B571" s="148"/>
      <c r="C571" s="148"/>
      <c r="D571" s="148"/>
      <c r="E571" s="149"/>
    </row>
    <row r="572" spans="1:5" ht="12.75">
      <c r="A572" s="148"/>
      <c r="B572" s="148"/>
      <c r="C572" s="148"/>
      <c r="D572" s="148"/>
      <c r="E572" s="149"/>
    </row>
    <row r="573" spans="1:5" ht="12.75">
      <c r="A573" s="148"/>
      <c r="B573" s="148"/>
      <c r="C573" s="148"/>
      <c r="D573" s="148"/>
      <c r="E573" s="149"/>
    </row>
    <row r="574" spans="1:5" ht="12.75">
      <c r="A574" s="148"/>
      <c r="B574" s="148"/>
      <c r="C574" s="148"/>
      <c r="D574" s="148"/>
      <c r="E574" s="149"/>
    </row>
    <row r="575" spans="1:5" ht="12.75">
      <c r="A575" s="148"/>
      <c r="B575" s="148"/>
      <c r="C575" s="148"/>
      <c r="D575" s="148"/>
      <c r="E575" s="149"/>
    </row>
    <row r="576" spans="1:5" ht="12.75">
      <c r="A576" s="148"/>
      <c r="B576" s="148"/>
      <c r="C576" s="148"/>
      <c r="D576" s="148"/>
      <c r="E576" s="149"/>
    </row>
    <row r="577" spans="1:5" ht="12.75">
      <c r="A577" s="148"/>
      <c r="B577" s="148"/>
      <c r="C577" s="148"/>
      <c r="D577" s="148"/>
      <c r="E577" s="149"/>
    </row>
    <row r="578" spans="1:5" ht="12.75">
      <c r="A578" s="148"/>
      <c r="B578" s="148"/>
      <c r="C578" s="148"/>
      <c r="D578" s="148"/>
      <c r="E578" s="149"/>
    </row>
    <row r="579" spans="1:5" ht="12.75">
      <c r="A579" s="148"/>
      <c r="B579" s="148"/>
      <c r="C579" s="148"/>
      <c r="D579" s="148"/>
      <c r="E579" s="149"/>
    </row>
    <row r="580" spans="1:5" ht="12.75">
      <c r="A580" s="148"/>
      <c r="B580" s="148"/>
      <c r="C580" s="148"/>
      <c r="D580" s="148"/>
      <c r="E580" s="149"/>
    </row>
    <row r="581" spans="1:5" ht="12.75">
      <c r="A581" s="148"/>
      <c r="B581" s="148"/>
      <c r="C581" s="148"/>
      <c r="D581" s="148"/>
      <c r="E581" s="149"/>
    </row>
    <row r="582" spans="1:5" ht="12.75">
      <c r="A582" s="148"/>
      <c r="B582" s="148"/>
      <c r="C582" s="148"/>
      <c r="D582" s="148"/>
      <c r="E582" s="149"/>
    </row>
    <row r="583" spans="1:5" ht="12.75">
      <c r="A583" s="148"/>
      <c r="B583" s="148"/>
      <c r="C583" s="148"/>
      <c r="D583" s="148"/>
      <c r="E583" s="149"/>
    </row>
    <row r="584" spans="1:5" ht="12.75">
      <c r="A584" s="148"/>
      <c r="B584" s="148"/>
      <c r="C584" s="148"/>
      <c r="D584" s="148"/>
      <c r="E584" s="149"/>
    </row>
    <row r="585" spans="1:5" ht="12.75">
      <c r="A585" s="148"/>
      <c r="B585" s="148"/>
      <c r="C585" s="148"/>
      <c r="D585" s="148"/>
      <c r="E585" s="149"/>
    </row>
    <row r="586" spans="1:5" ht="12.75">
      <c r="A586" s="148"/>
      <c r="B586" s="148"/>
      <c r="C586" s="148"/>
      <c r="D586" s="148"/>
      <c r="E586" s="149"/>
    </row>
    <row r="587" spans="1:5" ht="12.75">
      <c r="A587" s="148"/>
      <c r="B587" s="148"/>
      <c r="C587" s="148"/>
      <c r="D587" s="148"/>
      <c r="E587" s="149"/>
    </row>
    <row r="588" spans="1:5" ht="12.75">
      <c r="A588" s="148"/>
      <c r="B588" s="148"/>
      <c r="C588" s="148"/>
      <c r="D588" s="148"/>
      <c r="E588" s="149"/>
    </row>
    <row r="589" spans="1:5" ht="12.75">
      <c r="A589" s="148"/>
      <c r="B589" s="148"/>
      <c r="C589" s="148"/>
      <c r="D589" s="148"/>
      <c r="E589" s="149"/>
    </row>
    <row r="590" spans="1:5" ht="12.75">
      <c r="A590" s="148"/>
      <c r="B590" s="148"/>
      <c r="C590" s="148"/>
      <c r="D590" s="148"/>
      <c r="E590" s="149"/>
    </row>
    <row r="591" spans="1:5" ht="12.75">
      <c r="A591" s="148"/>
      <c r="B591" s="148"/>
      <c r="C591" s="148"/>
      <c r="D591" s="148"/>
      <c r="E591" s="149"/>
    </row>
    <row r="592" spans="1:5" ht="12.75">
      <c r="A592" s="148"/>
      <c r="B592" s="148"/>
      <c r="C592" s="148"/>
      <c r="D592" s="148"/>
      <c r="E592" s="149"/>
    </row>
    <row r="593" spans="1:5" ht="12.75">
      <c r="A593" s="148"/>
      <c r="B593" s="148"/>
      <c r="C593" s="148"/>
      <c r="D593" s="148"/>
      <c r="E593" s="149"/>
    </row>
    <row r="594" spans="1:5" ht="12.75">
      <c r="A594" s="148"/>
      <c r="B594" s="148"/>
      <c r="C594" s="148"/>
      <c r="D594" s="148"/>
      <c r="E594" s="149"/>
    </row>
    <row r="595" spans="1:5" ht="12.75">
      <c r="A595" s="148"/>
      <c r="B595" s="148"/>
      <c r="C595" s="148"/>
      <c r="D595" s="148"/>
      <c r="E595" s="149"/>
    </row>
    <row r="596" spans="1:5" ht="12.75">
      <c r="A596" s="148"/>
      <c r="B596" s="148"/>
      <c r="C596" s="148"/>
      <c r="D596" s="148"/>
      <c r="E596" s="149"/>
    </row>
    <row r="597" spans="1:5" ht="12.75">
      <c r="A597" s="148"/>
      <c r="B597" s="148"/>
      <c r="C597" s="148"/>
      <c r="D597" s="148"/>
      <c r="E597" s="149"/>
    </row>
    <row r="598" spans="1:5" ht="12.75">
      <c r="A598" s="148"/>
      <c r="B598" s="148"/>
      <c r="C598" s="148"/>
      <c r="D598" s="148"/>
      <c r="E598" s="149"/>
    </row>
    <row r="599" spans="1:5" ht="12.75">
      <c r="A599" s="148"/>
      <c r="B599" s="148"/>
      <c r="C599" s="148"/>
      <c r="D599" s="148"/>
      <c r="E599" s="149"/>
    </row>
    <row r="600" spans="1:5" ht="12.75">
      <c r="A600" s="148"/>
      <c r="B600" s="148"/>
      <c r="C600" s="148"/>
      <c r="D600" s="148"/>
      <c r="E600" s="149"/>
    </row>
    <row r="601" spans="1:5" ht="12.75">
      <c r="A601" s="148"/>
      <c r="B601" s="148"/>
      <c r="C601" s="148"/>
      <c r="D601" s="148"/>
      <c r="E601" s="149"/>
    </row>
    <row r="602" spans="1:5" ht="12.75">
      <c r="A602" s="148"/>
      <c r="B602" s="148"/>
      <c r="C602" s="148"/>
      <c r="D602" s="148"/>
      <c r="E602" s="149"/>
    </row>
    <row r="603" spans="1:5" ht="12.75">
      <c r="A603" s="148"/>
      <c r="B603" s="148"/>
      <c r="C603" s="148"/>
      <c r="D603" s="148"/>
      <c r="E603" s="149"/>
    </row>
    <row r="604" spans="1:5" ht="12.75">
      <c r="A604" s="148"/>
      <c r="B604" s="148"/>
      <c r="C604" s="148"/>
      <c r="D604" s="148"/>
      <c r="E604" s="149"/>
    </row>
    <row r="605" spans="1:5" ht="12.75">
      <c r="A605" s="148"/>
      <c r="B605" s="148"/>
      <c r="C605" s="148"/>
      <c r="D605" s="148"/>
      <c r="E605" s="149"/>
    </row>
    <row r="606" spans="1:5" ht="12.75">
      <c r="A606" s="148"/>
      <c r="B606" s="148"/>
      <c r="C606" s="148"/>
      <c r="D606" s="148"/>
      <c r="E606" s="149"/>
    </row>
    <row r="607" spans="1:5" ht="12.75">
      <c r="A607" s="148"/>
      <c r="B607" s="148"/>
      <c r="C607" s="148"/>
      <c r="D607" s="148"/>
      <c r="E607" s="149"/>
    </row>
    <row r="608" spans="1:5" ht="12.75">
      <c r="A608" s="148"/>
      <c r="B608" s="148"/>
      <c r="C608" s="148"/>
      <c r="D608" s="148"/>
      <c r="E608" s="149"/>
    </row>
    <row r="609" spans="1:5" ht="12.75">
      <c r="A609" s="148"/>
      <c r="B609" s="148"/>
      <c r="C609" s="148"/>
      <c r="D609" s="148"/>
      <c r="E609" s="149"/>
    </row>
    <row r="610" spans="1:5" ht="12.75">
      <c r="A610" s="148"/>
      <c r="B610" s="148"/>
      <c r="C610" s="148"/>
      <c r="D610" s="148"/>
      <c r="E610" s="149"/>
    </row>
    <row r="611" spans="1:5" ht="12.75">
      <c r="A611" s="148"/>
      <c r="B611" s="148"/>
      <c r="C611" s="148"/>
      <c r="D611" s="148"/>
      <c r="E611" s="149"/>
    </row>
    <row r="612" spans="1:5" ht="12.75">
      <c r="A612" s="148"/>
      <c r="B612" s="148"/>
      <c r="C612" s="148"/>
      <c r="D612" s="148"/>
      <c r="E612" s="149"/>
    </row>
    <row r="613" spans="1:5" ht="12.75">
      <c r="A613" s="148"/>
      <c r="B613" s="148"/>
      <c r="C613" s="148"/>
      <c r="D613" s="148"/>
      <c r="E613" s="149"/>
    </row>
    <row r="614" spans="1:5" ht="12.75">
      <c r="A614" s="148"/>
      <c r="B614" s="148"/>
      <c r="C614" s="148"/>
      <c r="D614" s="148"/>
      <c r="E614" s="149"/>
    </row>
    <row r="615" spans="1:5" ht="12.75">
      <c r="A615" s="148"/>
      <c r="B615" s="148"/>
      <c r="C615" s="148"/>
      <c r="D615" s="148"/>
      <c r="E615" s="149"/>
    </row>
    <row r="616" spans="1:5" ht="12.75">
      <c r="A616" s="148"/>
      <c r="B616" s="148"/>
      <c r="C616" s="148"/>
      <c r="D616" s="148"/>
      <c r="E616" s="149"/>
    </row>
    <row r="617" spans="1:5" ht="12.75">
      <c r="A617" s="148"/>
      <c r="B617" s="148"/>
      <c r="C617" s="148"/>
      <c r="D617" s="148"/>
      <c r="E617" s="149"/>
    </row>
    <row r="618" spans="1:5" ht="12.75">
      <c r="A618" s="148"/>
      <c r="B618" s="148"/>
      <c r="C618" s="148"/>
      <c r="D618" s="148"/>
      <c r="E618" s="149"/>
    </row>
    <row r="619" spans="1:5" ht="12.75">
      <c r="A619" s="148"/>
      <c r="B619" s="148"/>
      <c r="C619" s="148"/>
      <c r="D619" s="148"/>
      <c r="E619" s="149"/>
    </row>
    <row r="620" spans="1:5" ht="12.75">
      <c r="A620" s="148"/>
      <c r="B620" s="148"/>
      <c r="C620" s="148"/>
      <c r="D620" s="148"/>
      <c r="E620" s="149"/>
    </row>
  </sheetData>
  <mergeCells count="5">
    <mergeCell ref="A4:E4"/>
    <mergeCell ref="A3:E3"/>
    <mergeCell ref="D6:D8"/>
    <mergeCell ref="C6:C8"/>
    <mergeCell ref="E6:E8"/>
  </mergeCells>
  <printOptions horizontalCentered="1" verticalCentered="1"/>
  <pageMargins left="0.1968503937007874" right="1.7716535433070868" top="0.7874015748031497" bottom="0.31496062992125984" header="0" footer="0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H10" sqref="H10"/>
    </sheetView>
  </sheetViews>
  <sheetFormatPr defaultColWidth="11.421875" defaultRowHeight="12.75"/>
  <sheetData/>
  <printOptions/>
  <pageMargins left="0.984251968503937" right="0.7874015748031497" top="0.984251968503937" bottom="0.7874015748031497" header="0" footer="0"/>
  <pageSetup fitToHeight="1" fitToWidth="1" horizontalDpi="600" verticalDpi="600" orientation="portrait" paperSize="9" scale="91" r:id="rId3"/>
  <legacyDrawing r:id="rId2"/>
  <oleObjects>
    <oleObject progId="Word.Document.8" shapeId="63889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showZeros="0" zoomScale="75" zoomScaleNormal="75" workbookViewId="0" topLeftCell="B39">
      <selection activeCell="D56" sqref="D56"/>
    </sheetView>
  </sheetViews>
  <sheetFormatPr defaultColWidth="11.421875" defaultRowHeight="12.75"/>
  <cols>
    <col min="1" max="1" width="58.8515625" style="0" customWidth="1"/>
    <col min="2" max="2" width="27.28125" style="150" customWidth="1"/>
    <col min="3" max="3" width="0" style="150" hidden="1" customWidth="1"/>
    <col min="4" max="4" width="27.28125" style="150" customWidth="1"/>
    <col min="5" max="5" width="0" style="150" hidden="1" customWidth="1"/>
    <col min="6" max="6" width="22.421875" style="150" customWidth="1"/>
    <col min="7" max="7" width="0" style="150" hidden="1" customWidth="1"/>
  </cols>
  <sheetData>
    <row r="1" ht="15">
      <c r="F1" s="151" t="s">
        <v>176</v>
      </c>
    </row>
    <row r="2" spans="1:7" ht="15">
      <c r="A2" s="412" t="s">
        <v>1</v>
      </c>
      <c r="B2" s="412"/>
      <c r="C2" s="412"/>
      <c r="D2" s="412"/>
      <c r="E2" s="412"/>
      <c r="F2" s="412"/>
      <c r="G2" s="151"/>
    </row>
    <row r="3" spans="1:7" ht="15">
      <c r="A3" s="412" t="s">
        <v>2</v>
      </c>
      <c r="B3" s="412"/>
      <c r="C3" s="412"/>
      <c r="D3" s="412"/>
      <c r="E3" s="412"/>
      <c r="F3" s="412"/>
      <c r="G3" s="151"/>
    </row>
    <row r="4" spans="1:7" ht="15">
      <c r="A4" s="412" t="s">
        <v>177</v>
      </c>
      <c r="B4" s="412"/>
      <c r="C4" s="412"/>
      <c r="D4" s="412"/>
      <c r="E4" s="412"/>
      <c r="F4" s="412"/>
      <c r="G4" s="151"/>
    </row>
    <row r="7" spans="1:7" ht="71.25" customHeight="1">
      <c r="A7" s="152" t="s">
        <v>178</v>
      </c>
      <c r="B7" s="153" t="s">
        <v>179</v>
      </c>
      <c r="C7" s="154" t="s">
        <v>180</v>
      </c>
      <c r="D7" s="154" t="s">
        <v>181</v>
      </c>
      <c r="E7" s="154" t="s">
        <v>182</v>
      </c>
      <c r="F7" s="154" t="s">
        <v>183</v>
      </c>
      <c r="G7" s="154" t="s">
        <v>184</v>
      </c>
    </row>
    <row r="8" spans="1:7" ht="19.5" customHeight="1">
      <c r="A8" s="155" t="s">
        <v>185</v>
      </c>
      <c r="B8" s="156">
        <f>+B9+B13+B15+B16+B17+B18+B19+B20+B21+B24+B25+B27+B28+B30+B31+B23+B29+B22+B26+B14</f>
        <v>5899867524</v>
      </c>
      <c r="C8" s="157">
        <f>B8/$B$53</f>
        <v>0.7241298185457427</v>
      </c>
      <c r="D8" s="156">
        <f>SUM(D10:D31)</f>
        <v>6426698237</v>
      </c>
      <c r="E8" s="156">
        <f>SUM(E10:E31)</f>
        <v>0.7332708875686847</v>
      </c>
      <c r="F8" s="158">
        <f>SUM(F10:F31)</f>
        <v>6924074558</v>
      </c>
      <c r="G8" s="159">
        <f>F8/$F$53</f>
        <v>0.7419383869513839</v>
      </c>
    </row>
    <row r="9" spans="1:7" s="164" customFormat="1" ht="16.5" customHeight="1">
      <c r="A9" s="160" t="s">
        <v>186</v>
      </c>
      <c r="B9" s="161">
        <f>+B10+B11+B12</f>
        <v>115253105</v>
      </c>
      <c r="C9" s="162">
        <f aca="true" t="shared" si="0" ref="C9:C31">+B9/$B$53</f>
        <v>0.014145776946852583</v>
      </c>
      <c r="D9" s="163">
        <f>+D10+D11+D12</f>
        <v>119884472</v>
      </c>
      <c r="E9" s="162">
        <f aca="true" t="shared" si="1" ref="E9:E31">+D9/$D$53</f>
        <v>0.013678531330915377</v>
      </c>
      <c r="F9" s="161">
        <f>+F10+F11+F12</f>
        <v>123784872</v>
      </c>
      <c r="G9" s="162">
        <f aca="true" t="shared" si="2" ref="G9:G31">+F9/$F$53</f>
        <v>0.013263974483716634</v>
      </c>
    </row>
    <row r="10" spans="1:7" s="164" customFormat="1" ht="13.5">
      <c r="A10" s="165" t="s">
        <v>187</v>
      </c>
      <c r="B10" s="166">
        <v>36027038</v>
      </c>
      <c r="C10" s="167">
        <f t="shared" si="0"/>
        <v>0.004421836996094656</v>
      </c>
      <c r="D10" s="168">
        <v>36995607</v>
      </c>
      <c r="E10" s="167">
        <f t="shared" si="1"/>
        <v>0.004221110215639372</v>
      </c>
      <c r="F10" s="166">
        <v>38126932</v>
      </c>
      <c r="G10" s="167">
        <f t="shared" si="2"/>
        <v>0.00408543180616125</v>
      </c>
    </row>
    <row r="11" spans="1:7" s="164" customFormat="1" ht="13.5">
      <c r="A11" s="165" t="s">
        <v>188</v>
      </c>
      <c r="B11" s="166">
        <v>61175367</v>
      </c>
      <c r="C11" s="167">
        <f t="shared" si="0"/>
        <v>0.007508457982315064</v>
      </c>
      <c r="D11" s="168">
        <v>63955887</v>
      </c>
      <c r="E11" s="167">
        <f t="shared" si="1"/>
        <v>0.007297213638526793</v>
      </c>
      <c r="F11" s="166">
        <v>66057959</v>
      </c>
      <c r="G11" s="167">
        <f t="shared" si="2"/>
        <v>0.007078337348221353</v>
      </c>
    </row>
    <row r="12" spans="1:7" s="164" customFormat="1" ht="13.5">
      <c r="A12" s="165" t="s">
        <v>189</v>
      </c>
      <c r="B12" s="166">
        <v>18050700</v>
      </c>
      <c r="C12" s="167">
        <f t="shared" si="0"/>
        <v>0.0022154819684428624</v>
      </c>
      <c r="D12" s="168">
        <v>18932978</v>
      </c>
      <c r="E12" s="167">
        <f t="shared" si="1"/>
        <v>0.002160207476749212</v>
      </c>
      <c r="F12" s="166">
        <v>19599981</v>
      </c>
      <c r="G12" s="167">
        <f t="shared" si="2"/>
        <v>0.002100205329334031</v>
      </c>
    </row>
    <row r="13" spans="1:7" s="164" customFormat="1" ht="18" customHeight="1">
      <c r="A13" s="169" t="s">
        <v>190</v>
      </c>
      <c r="B13" s="170">
        <v>310520500</v>
      </c>
      <c r="C13" s="171">
        <f t="shared" si="0"/>
        <v>0.03811223767398837</v>
      </c>
      <c r="D13" s="172">
        <v>324980501</v>
      </c>
      <c r="E13" s="171">
        <f t="shared" si="1"/>
        <v>0.03707949737531543</v>
      </c>
      <c r="F13" s="170">
        <v>335912262</v>
      </c>
      <c r="G13" s="171">
        <f t="shared" si="2"/>
        <v>0.035994153404589994</v>
      </c>
    </row>
    <row r="14" spans="1:7" s="164" customFormat="1" ht="18" customHeight="1">
      <c r="A14" s="173" t="s">
        <v>191</v>
      </c>
      <c r="B14" s="174">
        <v>47310888</v>
      </c>
      <c r="C14" s="175">
        <f t="shared" si="0"/>
        <v>0.0058067786443196</v>
      </c>
      <c r="D14" s="176">
        <v>46589633</v>
      </c>
      <c r="E14" s="175">
        <f t="shared" si="1"/>
        <v>0.005315765620474593</v>
      </c>
      <c r="F14" s="174">
        <v>46800355</v>
      </c>
      <c r="G14" s="175">
        <f t="shared" si="2"/>
        <v>0.005014818891187933</v>
      </c>
    </row>
    <row r="15" spans="1:7" s="164" customFormat="1" ht="16.5" customHeight="1">
      <c r="A15" s="173" t="s">
        <v>192</v>
      </c>
      <c r="B15" s="174">
        <v>75299759</v>
      </c>
      <c r="C15" s="175">
        <f t="shared" si="0"/>
        <v>0.009242038164314579</v>
      </c>
      <c r="D15" s="176">
        <v>75477208</v>
      </c>
      <c r="E15" s="175">
        <f t="shared" si="1"/>
        <v>0.008611768790190082</v>
      </c>
      <c r="F15" s="174">
        <v>57433522</v>
      </c>
      <c r="G15" s="175">
        <f t="shared" si="2"/>
        <v>0.006154199281459676</v>
      </c>
    </row>
    <row r="16" spans="1:7" s="164" customFormat="1" ht="16.5" customHeight="1">
      <c r="A16" s="173" t="s">
        <v>193</v>
      </c>
      <c r="B16" s="174">
        <v>705516503</v>
      </c>
      <c r="C16" s="175">
        <f t="shared" si="0"/>
        <v>0.08659271334825601</v>
      </c>
      <c r="D16" s="176">
        <v>756964487</v>
      </c>
      <c r="E16" s="175">
        <f t="shared" si="1"/>
        <v>0.08636783629342577</v>
      </c>
      <c r="F16" s="174">
        <v>800450540</v>
      </c>
      <c r="G16" s="175">
        <f t="shared" si="2"/>
        <v>0.08577102651152074</v>
      </c>
    </row>
    <row r="17" spans="1:7" s="164" customFormat="1" ht="16.5" customHeight="1">
      <c r="A17" s="173" t="s">
        <v>194</v>
      </c>
      <c r="B17" s="174">
        <v>70140418</v>
      </c>
      <c r="C17" s="175">
        <f t="shared" si="0"/>
        <v>0.00860879807088064</v>
      </c>
      <c r="D17" s="176">
        <v>75095537</v>
      </c>
      <c r="E17" s="175">
        <f t="shared" si="1"/>
        <v>0.008568221042558498</v>
      </c>
      <c r="F17" s="174">
        <v>80511590</v>
      </c>
      <c r="G17" s="175">
        <f t="shared" si="2"/>
        <v>0.00862709358703748</v>
      </c>
    </row>
    <row r="18" spans="1:7" s="164" customFormat="1" ht="16.5" customHeight="1">
      <c r="A18" s="173" t="s">
        <v>195</v>
      </c>
      <c r="B18" s="174">
        <v>216521310</v>
      </c>
      <c r="C18" s="175">
        <f t="shared" si="0"/>
        <v>0.026575094488780336</v>
      </c>
      <c r="D18" s="176">
        <v>344763209</v>
      </c>
      <c r="E18" s="175">
        <f t="shared" si="1"/>
        <v>0.03933665701137197</v>
      </c>
      <c r="F18" s="174">
        <v>354482537</v>
      </c>
      <c r="G18" s="175">
        <f t="shared" si="2"/>
        <v>0.037984022196921916</v>
      </c>
    </row>
    <row r="19" spans="1:7" s="164" customFormat="1" ht="16.5" customHeight="1">
      <c r="A19" s="173" t="s">
        <v>196</v>
      </c>
      <c r="B19" s="174">
        <v>2103073623</v>
      </c>
      <c r="C19" s="175">
        <f t="shared" si="0"/>
        <v>0.25812415529947885</v>
      </c>
      <c r="D19" s="176">
        <v>2305965288</v>
      </c>
      <c r="E19" s="175">
        <f t="shared" si="1"/>
        <v>0.26310512040217604</v>
      </c>
      <c r="F19" s="174">
        <v>2500270374</v>
      </c>
      <c r="G19" s="175">
        <f t="shared" si="2"/>
        <v>0.2679125640096687</v>
      </c>
    </row>
    <row r="20" spans="1:7" s="164" customFormat="1" ht="16.5" customHeight="1">
      <c r="A20" s="173" t="s">
        <v>197</v>
      </c>
      <c r="B20" s="174">
        <v>579894612</v>
      </c>
      <c r="C20" s="175">
        <f t="shared" si="0"/>
        <v>0.0711743066187555</v>
      </c>
      <c r="D20" s="176">
        <v>606787029</v>
      </c>
      <c r="E20" s="175">
        <f t="shared" si="1"/>
        <v>0.06923294776132106</v>
      </c>
      <c r="F20" s="174">
        <v>627117655</v>
      </c>
      <c r="G20" s="175">
        <f t="shared" si="2"/>
        <v>0.0671978121382087</v>
      </c>
    </row>
    <row r="21" spans="1:7" s="164" customFormat="1" ht="16.5" customHeight="1">
      <c r="A21" s="173" t="s">
        <v>198</v>
      </c>
      <c r="B21" s="174">
        <v>223424391</v>
      </c>
      <c r="C21" s="175">
        <f t="shared" si="0"/>
        <v>0.027422355341943955</v>
      </c>
      <c r="D21" s="176">
        <v>146491741</v>
      </c>
      <c r="E21" s="175">
        <f t="shared" si="1"/>
        <v>0.01671435704357809</v>
      </c>
      <c r="F21" s="174">
        <v>148372583</v>
      </c>
      <c r="G21" s="175">
        <f t="shared" si="2"/>
        <v>0.01589863222539123</v>
      </c>
    </row>
    <row r="22" spans="1:7" s="164" customFormat="1" ht="16.5" customHeight="1">
      <c r="A22" s="173" t="s">
        <v>199</v>
      </c>
      <c r="B22" s="174">
        <v>68699581</v>
      </c>
      <c r="C22" s="175">
        <f t="shared" si="0"/>
        <v>0.008431954602596015</v>
      </c>
      <c r="D22" s="176">
        <v>248266946</v>
      </c>
      <c r="E22" s="175">
        <f t="shared" si="1"/>
        <v>0.028326664351423895</v>
      </c>
      <c r="F22" s="174">
        <v>319717895</v>
      </c>
      <c r="G22" s="175">
        <f t="shared" si="2"/>
        <v>0.034258871320459856</v>
      </c>
    </row>
    <row r="23" spans="1:7" s="164" customFormat="1" ht="13.5">
      <c r="A23" s="173" t="s">
        <v>200</v>
      </c>
      <c r="B23" s="174">
        <v>6361381</v>
      </c>
      <c r="C23" s="175">
        <f t="shared" si="0"/>
        <v>0.0007807744242547394</v>
      </c>
      <c r="D23" s="176">
        <v>7624856</v>
      </c>
      <c r="E23" s="175">
        <f t="shared" si="1"/>
        <v>0.00086997782072826</v>
      </c>
      <c r="F23" s="174">
        <v>8830087</v>
      </c>
      <c r="G23" s="175">
        <f t="shared" si="2"/>
        <v>0.0009461741710812446</v>
      </c>
    </row>
    <row r="24" spans="1:7" s="164" customFormat="1" ht="16.5" customHeight="1">
      <c r="A24" s="173" t="s">
        <v>201</v>
      </c>
      <c r="B24" s="174">
        <v>77181366</v>
      </c>
      <c r="C24" s="175">
        <f t="shared" si="0"/>
        <v>0.009472980254105881</v>
      </c>
      <c r="D24" s="176">
        <v>81205594</v>
      </c>
      <c r="E24" s="175">
        <f t="shared" si="1"/>
        <v>0.009265363922815573</v>
      </c>
      <c r="F24" s="174">
        <v>84108042</v>
      </c>
      <c r="G24" s="175">
        <f t="shared" si="2"/>
        <v>0.009012465779852057</v>
      </c>
    </row>
    <row r="25" spans="1:7" s="164" customFormat="1" ht="16.5" customHeight="1">
      <c r="A25" s="173" t="s">
        <v>202</v>
      </c>
      <c r="B25" s="174">
        <v>191752784</v>
      </c>
      <c r="C25" s="175">
        <f t="shared" si="0"/>
        <v>0.023535089240346304</v>
      </c>
      <c r="D25" s="176">
        <v>205254729</v>
      </c>
      <c r="E25" s="175">
        <f t="shared" si="1"/>
        <v>0.023419073334577017</v>
      </c>
      <c r="F25" s="174">
        <v>225414181</v>
      </c>
      <c r="G25" s="175">
        <f t="shared" si="2"/>
        <v>0.02415390424325747</v>
      </c>
    </row>
    <row r="26" spans="1:7" s="164" customFormat="1" ht="16.5" customHeight="1">
      <c r="A26" s="173" t="s">
        <v>203</v>
      </c>
      <c r="B26" s="174">
        <v>5261469</v>
      </c>
      <c r="C26" s="175">
        <f t="shared" si="0"/>
        <v>0.0006457749393110017</v>
      </c>
      <c r="D26" s="176">
        <v>5942047</v>
      </c>
      <c r="E26" s="175">
        <f t="shared" si="1"/>
        <v>0.000677973341362105</v>
      </c>
      <c r="F26" s="174">
        <v>6154157</v>
      </c>
      <c r="G26" s="175">
        <f t="shared" si="2"/>
        <v>0.0006594390744030992</v>
      </c>
    </row>
    <row r="27" spans="1:7" s="164" customFormat="1" ht="12.75" customHeight="1" hidden="1">
      <c r="A27" s="173" t="s">
        <v>204</v>
      </c>
      <c r="B27" s="174"/>
      <c r="C27" s="175">
        <f t="shared" si="0"/>
        <v>0</v>
      </c>
      <c r="D27" s="176"/>
      <c r="E27" s="175">
        <f t="shared" si="1"/>
        <v>0</v>
      </c>
      <c r="F27" s="174"/>
      <c r="G27" s="175">
        <f t="shared" si="2"/>
        <v>0</v>
      </c>
    </row>
    <row r="28" spans="1:7" s="164" customFormat="1" ht="16.5" customHeight="1">
      <c r="A28" s="173" t="s">
        <v>205</v>
      </c>
      <c r="B28" s="174">
        <v>9100042</v>
      </c>
      <c r="C28" s="175">
        <f t="shared" si="0"/>
        <v>0.0011169084280982303</v>
      </c>
      <c r="D28" s="176">
        <v>9540327</v>
      </c>
      <c r="E28" s="175">
        <f t="shared" si="1"/>
        <v>0.0010885284774551779</v>
      </c>
      <c r="F28" s="174">
        <v>9873188</v>
      </c>
      <c r="G28" s="175">
        <f t="shared" si="2"/>
        <v>0.0010579460283720071</v>
      </c>
    </row>
    <row r="29" spans="1:7" s="164" customFormat="1" ht="16.5" customHeight="1">
      <c r="A29" s="173" t="s">
        <v>206</v>
      </c>
      <c r="B29" s="170">
        <v>10830402</v>
      </c>
      <c r="C29" s="175">
        <f t="shared" si="0"/>
        <v>0.0013292869718064958</v>
      </c>
      <c r="D29" s="172">
        <v>11361650</v>
      </c>
      <c r="E29" s="175">
        <f t="shared" si="1"/>
        <v>0.0012963370727102563</v>
      </c>
      <c r="F29" s="170">
        <v>11763273</v>
      </c>
      <c r="G29" s="175">
        <f t="shared" si="2"/>
        <v>0.0012604751323489094</v>
      </c>
    </row>
    <row r="30" spans="1:7" s="164" customFormat="1" ht="16.5" customHeight="1">
      <c r="A30" s="173" t="s">
        <v>207</v>
      </c>
      <c r="B30" s="174">
        <v>74475825</v>
      </c>
      <c r="C30" s="175">
        <f t="shared" si="0"/>
        <v>0.0091409112872302</v>
      </c>
      <c r="D30" s="176">
        <v>78346700</v>
      </c>
      <c r="E30" s="175">
        <f t="shared" si="1"/>
        <v>0.00893917095972052</v>
      </c>
      <c r="F30" s="174">
        <v>82011570</v>
      </c>
      <c r="G30" s="175">
        <f t="shared" si="2"/>
        <v>0.008787821599472516</v>
      </c>
    </row>
    <row r="31" spans="1:7" s="164" customFormat="1" ht="16.5" customHeight="1">
      <c r="A31" s="177" t="s">
        <v>208</v>
      </c>
      <c r="B31" s="178">
        <v>1009249565</v>
      </c>
      <c r="C31" s="175">
        <f t="shared" si="0"/>
        <v>0.1238718838004234</v>
      </c>
      <c r="D31" s="179">
        <v>976156283</v>
      </c>
      <c r="E31" s="175">
        <f t="shared" si="1"/>
        <v>0.1113770956165649</v>
      </c>
      <c r="F31" s="178">
        <v>1101065875</v>
      </c>
      <c r="G31" s="175">
        <f t="shared" si="2"/>
        <v>0.11798299287243379</v>
      </c>
    </row>
    <row r="32" spans="1:7" ht="12.75" customHeight="1" hidden="1">
      <c r="A32" s="165" t="s">
        <v>209</v>
      </c>
      <c r="B32" s="180"/>
      <c r="C32" s="180"/>
      <c r="D32" s="180"/>
      <c r="E32" s="180"/>
      <c r="F32" s="180"/>
      <c r="G32" s="180"/>
    </row>
    <row r="33" spans="1:7" ht="12.75" customHeight="1" hidden="1">
      <c r="A33" s="165" t="s">
        <v>210</v>
      </c>
      <c r="B33" s="180"/>
      <c r="C33" s="180"/>
      <c r="D33" s="180"/>
      <c r="E33" s="180"/>
      <c r="F33" s="180"/>
      <c r="G33" s="180"/>
    </row>
    <row r="34" spans="1:7" ht="12.75" customHeight="1" hidden="1">
      <c r="A34" s="165" t="s">
        <v>211</v>
      </c>
      <c r="B34" s="180"/>
      <c r="C34" s="180"/>
      <c r="D34" s="180"/>
      <c r="E34" s="180"/>
      <c r="F34" s="180"/>
      <c r="G34" s="180"/>
    </row>
    <row r="35" spans="1:7" ht="12.75" customHeight="1" hidden="1">
      <c r="A35" s="165" t="s">
        <v>212</v>
      </c>
      <c r="B35" s="180"/>
      <c r="C35" s="180"/>
      <c r="D35" s="180"/>
      <c r="E35" s="180"/>
      <c r="F35" s="180"/>
      <c r="G35" s="180"/>
    </row>
    <row r="36" spans="1:7" ht="12.75" customHeight="1" hidden="1">
      <c r="A36" s="165" t="s">
        <v>213</v>
      </c>
      <c r="B36" s="180"/>
      <c r="C36" s="180"/>
      <c r="D36" s="180"/>
      <c r="E36" s="180"/>
      <c r="F36" s="180"/>
      <c r="G36" s="180"/>
    </row>
    <row r="37" spans="1:10" ht="23.25" customHeight="1">
      <c r="A37" s="181" t="s">
        <v>214</v>
      </c>
      <c r="B37" s="182">
        <f>+SUM(B38:B46)</f>
        <v>912621931</v>
      </c>
      <c r="C37" s="183">
        <f aca="true" t="shared" si="3" ref="C37:C46">+B37/$B$53</f>
        <v>0.11201213427379582</v>
      </c>
      <c r="D37" s="182">
        <f>+SUM(D38:D46)</f>
        <v>933919096</v>
      </c>
      <c r="E37" s="183">
        <f aca="true" t="shared" si="4" ref="E37:E46">+D37/$D$53</f>
        <v>0.10655793366780783</v>
      </c>
      <c r="F37" s="182">
        <f>+SUM(F38:F46)</f>
        <v>959720564</v>
      </c>
      <c r="G37" s="183">
        <f aca="true" t="shared" si="5" ref="G37:G46">+F37/$F$53</f>
        <v>0.10283735699459412</v>
      </c>
      <c r="H37" s="184"/>
      <c r="I37" s="184"/>
      <c r="J37" s="184"/>
    </row>
    <row r="38" spans="1:7" s="164" customFormat="1" ht="16.5" customHeight="1">
      <c r="A38" s="173" t="s">
        <v>215</v>
      </c>
      <c r="B38" s="174">
        <v>6423391</v>
      </c>
      <c r="C38" s="175">
        <f t="shared" si="3"/>
        <v>0.0007883853222732729</v>
      </c>
      <c r="D38" s="174">
        <v>6724060</v>
      </c>
      <c r="E38" s="175">
        <f t="shared" si="4"/>
        <v>0.0007671991530392263</v>
      </c>
      <c r="F38" s="174">
        <v>6951364</v>
      </c>
      <c r="G38" s="175">
        <f t="shared" si="5"/>
        <v>0.0007448625444555648</v>
      </c>
    </row>
    <row r="39" spans="1:7" s="164" customFormat="1" ht="16.5" customHeight="1">
      <c r="A39" s="173" t="s">
        <v>216</v>
      </c>
      <c r="B39" s="174">
        <v>442472</v>
      </c>
      <c r="C39" s="175">
        <f t="shared" si="3"/>
        <v>5.430751923974418E-05</v>
      </c>
      <c r="D39" s="174">
        <v>464097</v>
      </c>
      <c r="E39" s="175">
        <f t="shared" si="4"/>
        <v>5.295235695815413E-05</v>
      </c>
      <c r="F39" s="174">
        <v>480446</v>
      </c>
      <c r="G39" s="175">
        <f t="shared" si="5"/>
        <v>5.1481440194111296E-05</v>
      </c>
    </row>
    <row r="40" spans="1:7" s="164" customFormat="1" ht="16.5" customHeight="1">
      <c r="A40" s="173" t="s">
        <v>217</v>
      </c>
      <c r="B40" s="174">
        <v>93516400</v>
      </c>
      <c r="C40" s="175">
        <f t="shared" si="3"/>
        <v>0.011477887170785073</v>
      </c>
      <c r="D40" s="174">
        <v>85422469</v>
      </c>
      <c r="E40" s="175">
        <f t="shared" si="4"/>
        <v>0.009746499267900579</v>
      </c>
      <c r="F40" s="174">
        <v>89068981</v>
      </c>
      <c r="G40" s="175">
        <f t="shared" si="5"/>
        <v>0.009544047444461886</v>
      </c>
    </row>
    <row r="41" spans="1:7" s="164" customFormat="1" ht="16.5" customHeight="1">
      <c r="A41" s="173" t="s">
        <v>218</v>
      </c>
      <c r="B41" s="174">
        <v>16524149</v>
      </c>
      <c r="C41" s="175">
        <f t="shared" si="3"/>
        <v>0.0020281182532180557</v>
      </c>
      <c r="D41" s="174">
        <v>17309892</v>
      </c>
      <c r="E41" s="175">
        <f t="shared" si="4"/>
        <v>0.001975017248745621</v>
      </c>
      <c r="F41" s="174">
        <v>17903911</v>
      </c>
      <c r="G41" s="175">
        <f t="shared" si="5"/>
        <v>0.0019184655994371716</v>
      </c>
    </row>
    <row r="42" spans="1:7" s="164" customFormat="1" ht="16.5" customHeight="1">
      <c r="A42" s="173" t="s">
        <v>219</v>
      </c>
      <c r="B42" s="174">
        <v>57529914</v>
      </c>
      <c r="C42" s="175">
        <f t="shared" si="3"/>
        <v>0.007061027390243514</v>
      </c>
      <c r="D42" s="174">
        <v>65034914</v>
      </c>
      <c r="E42" s="175">
        <f t="shared" si="4"/>
        <v>0.007420328036748471</v>
      </c>
      <c r="F42" s="174">
        <v>66931914</v>
      </c>
      <c r="G42" s="175">
        <f t="shared" si="5"/>
        <v>0.007171984630256888</v>
      </c>
    </row>
    <row r="43" spans="1:7" s="164" customFormat="1" ht="16.5" customHeight="1">
      <c r="A43" s="173" t="s">
        <v>220</v>
      </c>
      <c r="B43" s="174">
        <v>358214360</v>
      </c>
      <c r="C43" s="175">
        <f t="shared" si="3"/>
        <v>0.043966021008453975</v>
      </c>
      <c r="D43" s="174">
        <v>376208168</v>
      </c>
      <c r="E43" s="175">
        <f t="shared" si="4"/>
        <v>0.042924451574798406</v>
      </c>
      <c r="F43" s="174">
        <v>394074893</v>
      </c>
      <c r="G43" s="175">
        <f t="shared" si="5"/>
        <v>0.04222647922134914</v>
      </c>
    </row>
    <row r="44" spans="1:7" s="164" customFormat="1" ht="16.5" customHeight="1">
      <c r="A44" s="173" t="s">
        <v>221</v>
      </c>
      <c r="B44" s="174">
        <v>371270200</v>
      </c>
      <c r="C44" s="175">
        <f t="shared" si="3"/>
        <v>0.04556845072602033</v>
      </c>
      <c r="D44" s="174">
        <v>373930700</v>
      </c>
      <c r="E44" s="175">
        <f t="shared" si="4"/>
        <v>0.04266459792675334</v>
      </c>
      <c r="F44" s="174">
        <v>375390700</v>
      </c>
      <c r="G44" s="175">
        <f t="shared" si="5"/>
        <v>0.04022440372378077</v>
      </c>
    </row>
    <row r="45" spans="1:7" s="164" customFormat="1" ht="16.5" customHeight="1">
      <c r="A45" s="173" t="s">
        <v>222</v>
      </c>
      <c r="B45" s="174">
        <v>2865000</v>
      </c>
      <c r="C45" s="175">
        <f t="shared" si="3"/>
        <v>0.0003516404261102783</v>
      </c>
      <c r="D45" s="174">
        <v>2988751</v>
      </c>
      <c r="E45" s="175">
        <f t="shared" si="4"/>
        <v>0.00034100933600312027</v>
      </c>
      <c r="F45" s="174">
        <v>3082310</v>
      </c>
      <c r="G45" s="175">
        <f t="shared" si="5"/>
        <v>0.00033028011040722824</v>
      </c>
    </row>
    <row r="46" spans="1:7" s="164" customFormat="1" ht="18" customHeight="1">
      <c r="A46" s="173" t="s">
        <v>223</v>
      </c>
      <c r="B46" s="174">
        <v>5836045</v>
      </c>
      <c r="C46" s="175">
        <f t="shared" si="3"/>
        <v>0.000716296457451574</v>
      </c>
      <c r="D46" s="174">
        <v>5836045</v>
      </c>
      <c r="E46" s="175">
        <f t="shared" si="4"/>
        <v>0.0006658787668609162</v>
      </c>
      <c r="F46" s="174">
        <v>5836045</v>
      </c>
      <c r="G46" s="175">
        <f t="shared" si="5"/>
        <v>0.0006253522802513545</v>
      </c>
    </row>
    <row r="47" spans="1:7" ht="13.5">
      <c r="A47" s="165"/>
      <c r="B47" s="185"/>
      <c r="C47" s="185"/>
      <c r="D47" s="185"/>
      <c r="E47" s="185"/>
      <c r="F47" s="185"/>
      <c r="G47" s="185"/>
    </row>
    <row r="48" spans="1:12" ht="21.75" customHeight="1">
      <c r="A48" s="181" t="s">
        <v>224</v>
      </c>
      <c r="B48" s="182">
        <f>+B49+B50</f>
        <v>1335037926</v>
      </c>
      <c r="C48" s="183">
        <f>+B48/$B$53</f>
        <v>0.1638580471804615</v>
      </c>
      <c r="D48" s="182">
        <f>+D49+D50</f>
        <v>1403808401</v>
      </c>
      <c r="E48" s="183">
        <f>+D48/$D$53</f>
        <v>0.16017117876350756</v>
      </c>
      <c r="F48" s="182">
        <f>+F49+F50</f>
        <v>1448616679</v>
      </c>
      <c r="G48" s="183">
        <f>+F48/$F$53</f>
        <v>0.15522425605402193</v>
      </c>
      <c r="H48" s="184"/>
      <c r="I48" s="184"/>
      <c r="J48" s="184"/>
      <c r="K48" s="184"/>
      <c r="L48" s="184"/>
    </row>
    <row r="49" spans="1:9" ht="16.5" customHeight="1">
      <c r="A49" s="173" t="s">
        <v>225</v>
      </c>
      <c r="B49" s="174">
        <v>992586681</v>
      </c>
      <c r="C49" s="175">
        <f>+B49/$B$53</f>
        <v>0.12182673768175459</v>
      </c>
      <c r="D49" s="174">
        <v>1036812533</v>
      </c>
      <c r="E49" s="175">
        <f>+D49/$D$53</f>
        <v>0.11829782857054442</v>
      </c>
      <c r="F49" s="174">
        <v>1070625076</v>
      </c>
      <c r="G49" s="175">
        <f>+F49/$F$53</f>
        <v>0.11472115663448101</v>
      </c>
      <c r="H49" s="164"/>
      <c r="I49" s="164"/>
    </row>
    <row r="50" spans="1:9" ht="16.5" customHeight="1">
      <c r="A50" s="173" t="s">
        <v>226</v>
      </c>
      <c r="B50" s="174">
        <v>342451245</v>
      </c>
      <c r="C50" s="175">
        <f>+B50/$B$53</f>
        <v>0.04203130949870692</v>
      </c>
      <c r="D50" s="174">
        <v>366995868</v>
      </c>
      <c r="E50" s="175">
        <f>+D50/$D$53</f>
        <v>0.04187335019296314</v>
      </c>
      <c r="F50" s="174">
        <v>377991603</v>
      </c>
      <c r="G50" s="175">
        <f>+F50/$F$53</f>
        <v>0.04050309941954093</v>
      </c>
      <c r="H50" s="164"/>
      <c r="I50" s="164"/>
    </row>
    <row r="51" spans="1:7" ht="13.5">
      <c r="A51" s="169"/>
      <c r="B51" s="186"/>
      <c r="C51" s="186"/>
      <c r="D51" s="186"/>
      <c r="E51" s="186"/>
      <c r="F51" s="186"/>
      <c r="G51" s="186"/>
    </row>
    <row r="52" spans="1:7" ht="13.5">
      <c r="A52" s="169"/>
      <c r="B52" s="170"/>
      <c r="C52" s="187"/>
      <c r="D52" s="170"/>
      <c r="E52" s="187"/>
      <c r="F52" s="170"/>
      <c r="G52" s="187"/>
    </row>
    <row r="53" spans="1:9" s="191" customFormat="1" ht="17.25" customHeight="1">
      <c r="A53" s="188" t="s">
        <v>148</v>
      </c>
      <c r="B53" s="189">
        <f>B8+B37+B48</f>
        <v>8147527381</v>
      </c>
      <c r="C53" s="183">
        <f>+B53/$B$53</f>
        <v>1</v>
      </c>
      <c r="D53" s="189">
        <f>D8+D37+D48</f>
        <v>8764425734</v>
      </c>
      <c r="E53" s="183">
        <f>+D53/$D$53</f>
        <v>1</v>
      </c>
      <c r="F53" s="189">
        <f>F8+F37+F48</f>
        <v>9332411801</v>
      </c>
      <c r="G53" s="183">
        <f>+F53/$F$53</f>
        <v>1</v>
      </c>
      <c r="H53" s="190"/>
      <c r="I53" s="190"/>
    </row>
    <row r="54" spans="1:7" ht="13.5">
      <c r="A54" s="192"/>
      <c r="B54" s="193"/>
      <c r="C54" s="193"/>
      <c r="D54" s="193"/>
      <c r="E54" s="193"/>
      <c r="F54" s="193"/>
      <c r="G54" s="193"/>
    </row>
    <row r="55" spans="1:7" ht="13.5">
      <c r="A55" s="192"/>
      <c r="B55" s="193"/>
      <c r="C55" s="193"/>
      <c r="D55" s="193"/>
      <c r="E55" s="193"/>
      <c r="F55" s="193"/>
      <c r="G55" s="193"/>
    </row>
    <row r="56" spans="1:7" ht="13.5">
      <c r="A56" s="192"/>
      <c r="B56" s="194"/>
      <c r="C56" s="194"/>
      <c r="D56" s="194"/>
      <c r="E56" s="194"/>
      <c r="F56" s="194"/>
      <c r="G56" s="194"/>
    </row>
    <row r="57" spans="1:7" ht="13.5">
      <c r="A57" s="192"/>
      <c r="B57" s="194"/>
      <c r="C57" s="194"/>
      <c r="D57" s="194"/>
      <c r="E57" s="194"/>
      <c r="F57" s="194"/>
      <c r="G57" s="194"/>
    </row>
  </sheetData>
  <mergeCells count="3">
    <mergeCell ref="A2:F2"/>
    <mergeCell ref="A3:F3"/>
    <mergeCell ref="A4:F4"/>
  </mergeCells>
  <printOptions/>
  <pageMargins left="1.1811023622047245" right="0.31496062992125984" top="1.7716535433070868" bottom="0.7874015748031497" header="0.5118110236220472" footer="0.5118110236220472"/>
  <pageSetup fitToHeight="1" fitToWidth="1"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="75" zoomScaleNormal="75" workbookViewId="0" topLeftCell="A2">
      <selection activeCell="D42" sqref="D42"/>
    </sheetView>
  </sheetViews>
  <sheetFormatPr defaultColWidth="11.421875" defaultRowHeight="12.75"/>
  <cols>
    <col min="1" max="1" width="34.28125" style="55" customWidth="1"/>
    <col min="2" max="4" width="17.7109375" style="55" customWidth="1"/>
    <col min="5" max="16384" width="11.421875" style="55" customWidth="1"/>
  </cols>
  <sheetData>
    <row r="1" spans="2:4" ht="15" customHeight="1">
      <c r="B1" s="56"/>
      <c r="C1" s="56"/>
      <c r="D1" s="57" t="s">
        <v>227</v>
      </c>
    </row>
    <row r="2" spans="1:4" ht="15" customHeight="1">
      <c r="A2" s="408" t="s">
        <v>1</v>
      </c>
      <c r="B2" s="408"/>
      <c r="C2" s="408"/>
      <c r="D2" s="408"/>
    </row>
    <row r="3" spans="1:4" ht="12.75">
      <c r="A3" s="409" t="s">
        <v>2</v>
      </c>
      <c r="B3" s="409"/>
      <c r="C3" s="409"/>
      <c r="D3" s="409"/>
    </row>
    <row r="4" spans="1:4" ht="12.75">
      <c r="A4" s="409" t="s">
        <v>228</v>
      </c>
      <c r="B4" s="409"/>
      <c r="C4" s="409"/>
      <c r="D4" s="409"/>
    </row>
    <row r="5" spans="1:4" ht="12.75">
      <c r="A5" s="58"/>
      <c r="B5" s="411"/>
      <c r="C5" s="411"/>
      <c r="D5" s="411"/>
    </row>
    <row r="6" spans="1:4" ht="12.75">
      <c r="A6" s="195" t="s">
        <v>229</v>
      </c>
      <c r="B6" s="195">
        <v>2007</v>
      </c>
      <c r="C6" s="195">
        <v>2008</v>
      </c>
      <c r="D6" s="195">
        <v>2009</v>
      </c>
    </row>
    <row r="7" spans="1:4" ht="12.75">
      <c r="A7" s="196"/>
      <c r="B7" s="197"/>
      <c r="C7" s="62"/>
      <c r="D7" s="62"/>
    </row>
    <row r="8" spans="1:4" ht="12.75">
      <c r="A8" s="198" t="s">
        <v>230</v>
      </c>
      <c r="B8" s="199">
        <v>1794100539</v>
      </c>
      <c r="C8" s="200">
        <v>1731681256</v>
      </c>
      <c r="D8" s="200">
        <v>1788604728</v>
      </c>
    </row>
    <row r="9" spans="1:4" ht="12.75" customHeight="1" hidden="1">
      <c r="A9" s="198" t="s">
        <v>231</v>
      </c>
      <c r="B9" s="199">
        <v>0</v>
      </c>
      <c r="C9" s="200"/>
      <c r="D9" s="200"/>
    </row>
    <row r="10" spans="1:4" ht="12.75" hidden="1">
      <c r="A10" s="198" t="s">
        <v>232</v>
      </c>
      <c r="B10" s="199">
        <v>0</v>
      </c>
      <c r="C10" s="200"/>
      <c r="D10" s="200"/>
    </row>
    <row r="11" spans="1:4" ht="12.75" hidden="1">
      <c r="A11" s="198" t="s">
        <v>233</v>
      </c>
      <c r="B11" s="199">
        <v>0</v>
      </c>
      <c r="C11" s="200"/>
      <c r="D11" s="200"/>
    </row>
    <row r="12" spans="1:4" ht="12.75" hidden="1">
      <c r="A12" s="198" t="s">
        <v>234</v>
      </c>
      <c r="B12" s="199">
        <v>0</v>
      </c>
      <c r="C12" s="200"/>
      <c r="D12" s="200"/>
    </row>
    <row r="13" spans="1:4" ht="12.75" hidden="1">
      <c r="A13" s="198" t="s">
        <v>235</v>
      </c>
      <c r="B13" s="199">
        <v>0</v>
      </c>
      <c r="C13" s="200"/>
      <c r="D13" s="200"/>
    </row>
    <row r="14" spans="1:4" ht="12.75" hidden="1">
      <c r="A14" s="198" t="s">
        <v>236</v>
      </c>
      <c r="B14" s="199">
        <v>0</v>
      </c>
      <c r="C14" s="200"/>
      <c r="D14" s="200"/>
    </row>
    <row r="15" spans="1:4" ht="12.75" hidden="1">
      <c r="A15" s="198" t="s">
        <v>237</v>
      </c>
      <c r="B15" s="199">
        <v>0</v>
      </c>
      <c r="C15" s="200"/>
      <c r="D15" s="200"/>
    </row>
    <row r="16" spans="1:4" ht="9" customHeight="1">
      <c r="A16" s="198"/>
      <c r="B16" s="199">
        <v>0</v>
      </c>
      <c r="C16" s="200"/>
      <c r="D16" s="200"/>
    </row>
    <row r="17" spans="1:4" ht="12.75">
      <c r="A17" s="198" t="s">
        <v>238</v>
      </c>
      <c r="B17" s="199">
        <v>692616461</v>
      </c>
      <c r="C17" s="200">
        <v>777607764</v>
      </c>
      <c r="D17" s="200">
        <v>779617412</v>
      </c>
    </row>
    <row r="18" spans="1:4" ht="12.75" hidden="1">
      <c r="A18" s="198" t="s">
        <v>239</v>
      </c>
      <c r="B18" s="199">
        <v>0</v>
      </c>
      <c r="C18" s="200"/>
      <c r="D18" s="200"/>
    </row>
    <row r="19" spans="1:4" ht="12.75" hidden="1">
      <c r="A19" s="198" t="s">
        <v>240</v>
      </c>
      <c r="B19" s="199">
        <v>0</v>
      </c>
      <c r="C19" s="200"/>
      <c r="D19" s="200"/>
    </row>
    <row r="20" spans="1:4" ht="9" customHeight="1">
      <c r="A20" s="198"/>
      <c r="B20" s="199">
        <v>0</v>
      </c>
      <c r="C20" s="200"/>
      <c r="D20" s="200"/>
    </row>
    <row r="21" spans="1:4" ht="12.75">
      <c r="A21" s="198" t="s">
        <v>241</v>
      </c>
      <c r="B21" s="199">
        <f>4920396026-70000</f>
        <v>4920326026</v>
      </c>
      <c r="C21" s="200">
        <v>5392032886</v>
      </c>
      <c r="D21" s="200">
        <v>5847449685</v>
      </c>
    </row>
    <row r="22" spans="1:4" ht="12.75" customHeight="1" hidden="1">
      <c r="A22" s="198" t="s">
        <v>242</v>
      </c>
      <c r="B22" s="199">
        <v>0</v>
      </c>
      <c r="C22" s="200"/>
      <c r="D22" s="200"/>
    </row>
    <row r="23" spans="1:4" ht="12.75" customHeight="1" hidden="1">
      <c r="A23" s="198" t="s">
        <v>243</v>
      </c>
      <c r="B23" s="199">
        <v>0</v>
      </c>
      <c r="C23" s="200"/>
      <c r="D23" s="200"/>
    </row>
    <row r="24" spans="1:4" ht="12.75" customHeight="1" hidden="1">
      <c r="A24" s="198" t="s">
        <v>244</v>
      </c>
      <c r="B24" s="199">
        <v>0</v>
      </c>
      <c r="C24" s="200"/>
      <c r="D24" s="200"/>
    </row>
    <row r="25" spans="1:4" ht="12.75" hidden="1">
      <c r="A25" s="198" t="s">
        <v>245</v>
      </c>
      <c r="B25" s="199">
        <v>0</v>
      </c>
      <c r="C25" s="200"/>
      <c r="D25" s="200"/>
    </row>
    <row r="26" spans="1:4" ht="12.75" hidden="1">
      <c r="A26" s="198" t="s">
        <v>246</v>
      </c>
      <c r="B26" s="199">
        <v>0</v>
      </c>
      <c r="C26" s="200"/>
      <c r="D26" s="200"/>
    </row>
    <row r="27" spans="1:4" ht="12.75" hidden="1">
      <c r="A27" s="198" t="s">
        <v>247</v>
      </c>
      <c r="B27" s="199">
        <v>0</v>
      </c>
      <c r="C27" s="200"/>
      <c r="D27" s="200"/>
    </row>
    <row r="28" spans="1:4" ht="12.75" hidden="1">
      <c r="A28" s="198" t="s">
        <v>248</v>
      </c>
      <c r="B28" s="199">
        <v>0</v>
      </c>
      <c r="C28" s="200"/>
      <c r="D28" s="200"/>
    </row>
    <row r="29" spans="1:4" ht="9" customHeight="1">
      <c r="A29" s="198"/>
      <c r="B29" s="199">
        <v>0</v>
      </c>
      <c r="C29" s="200"/>
      <c r="D29" s="200"/>
    </row>
    <row r="30" spans="1:4" ht="12.75">
      <c r="A30" s="198" t="s">
        <v>249</v>
      </c>
      <c r="B30" s="199">
        <f>635232254+70000</f>
        <v>635302254</v>
      </c>
      <c r="C30" s="200">
        <v>753147095</v>
      </c>
      <c r="D30" s="200">
        <v>803803653</v>
      </c>
    </row>
    <row r="31" spans="1:4" ht="12.75" customHeight="1" hidden="1">
      <c r="A31" s="198" t="s">
        <v>250</v>
      </c>
      <c r="B31" s="199">
        <v>0</v>
      </c>
      <c r="C31" s="200"/>
      <c r="D31" s="200"/>
    </row>
    <row r="32" spans="1:4" ht="12.75" customHeight="1" hidden="1">
      <c r="A32" s="198" t="s">
        <v>251</v>
      </c>
      <c r="B32" s="199">
        <v>0</v>
      </c>
      <c r="C32" s="200"/>
      <c r="D32" s="200"/>
    </row>
    <row r="33" spans="1:4" ht="12.75" customHeight="1" hidden="1">
      <c r="A33" s="198" t="s">
        <v>252</v>
      </c>
      <c r="B33" s="199">
        <v>0</v>
      </c>
      <c r="C33" s="200"/>
      <c r="D33" s="200"/>
    </row>
    <row r="34" spans="1:4" ht="12.75" customHeight="1" hidden="1">
      <c r="A34" s="198" t="s">
        <v>253</v>
      </c>
      <c r="B34" s="199">
        <v>0</v>
      </c>
      <c r="C34" s="200"/>
      <c r="D34" s="200"/>
    </row>
    <row r="35" spans="1:4" ht="12.75" customHeight="1" hidden="1">
      <c r="A35" s="198" t="s">
        <v>254</v>
      </c>
      <c r="B35" s="199">
        <v>0</v>
      </c>
      <c r="C35" s="200"/>
      <c r="D35" s="200"/>
    </row>
    <row r="36" spans="1:4" ht="12.75" customHeight="1" hidden="1">
      <c r="A36" s="198" t="s">
        <v>255</v>
      </c>
      <c r="B36" s="199">
        <v>0</v>
      </c>
      <c r="C36" s="200"/>
      <c r="D36" s="200"/>
    </row>
    <row r="37" spans="1:4" ht="12.75" customHeight="1" hidden="1">
      <c r="A37" s="198" t="s">
        <v>256</v>
      </c>
      <c r="B37" s="199">
        <v>0</v>
      </c>
      <c r="C37" s="200"/>
      <c r="D37" s="200"/>
    </row>
    <row r="38" spans="1:4" ht="9" customHeight="1">
      <c r="A38" s="198"/>
      <c r="B38" s="199"/>
      <c r="C38" s="200"/>
      <c r="D38" s="200"/>
    </row>
    <row r="39" spans="1:4" ht="13.5" customHeight="1">
      <c r="A39" s="198" t="s">
        <v>257</v>
      </c>
      <c r="B39" s="199">
        <v>105182101</v>
      </c>
      <c r="C39" s="200">
        <v>109956733</v>
      </c>
      <c r="D39" s="200">
        <v>112936323</v>
      </c>
    </row>
    <row r="40" spans="1:4" ht="12.75" customHeight="1" hidden="1">
      <c r="A40" s="198" t="s">
        <v>258</v>
      </c>
      <c r="B40" s="199">
        <v>0</v>
      </c>
      <c r="C40" s="200"/>
      <c r="D40" s="200"/>
    </row>
    <row r="41" spans="1:4" ht="13.5" customHeight="1">
      <c r="A41" s="201"/>
      <c r="B41" s="199">
        <v>0</v>
      </c>
      <c r="C41" s="200"/>
      <c r="D41" s="200"/>
    </row>
    <row r="42" spans="1:4" ht="13.5" customHeight="1">
      <c r="A42" s="202" t="s">
        <v>62</v>
      </c>
      <c r="B42" s="69">
        <f>SUM(B8:B41)</f>
        <v>8147527381</v>
      </c>
      <c r="C42" s="203">
        <f>SUM(C8:C41)</f>
        <v>8764425734</v>
      </c>
      <c r="D42" s="203">
        <f>SUM(D8:D41)</f>
        <v>9332411801</v>
      </c>
    </row>
    <row r="43" spans="1:4" ht="13.5" customHeight="1">
      <c r="A43" s="204"/>
      <c r="B43" s="71"/>
      <c r="C43" s="73"/>
      <c r="D43" s="73"/>
    </row>
  </sheetData>
  <mergeCells count="4">
    <mergeCell ref="A2:D2"/>
    <mergeCell ref="A3:D3"/>
    <mergeCell ref="A4:D4"/>
    <mergeCell ref="B5:D5"/>
  </mergeCells>
  <printOptions/>
  <pageMargins left="1.299212598425197" right="0.7480314960629921" top="2.0866141732283467" bottom="1.062992125984252" header="0.5118110236220472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9"/>
  <sheetViews>
    <sheetView showGridLines="0" showZeros="0" zoomScale="60" zoomScaleNormal="60" workbookViewId="0" topLeftCell="A1">
      <selection activeCell="D8" sqref="D8"/>
    </sheetView>
  </sheetViews>
  <sheetFormatPr defaultColWidth="11.421875" defaultRowHeight="12.75"/>
  <cols>
    <col min="1" max="1" width="13.140625" style="0" customWidth="1"/>
    <col min="2" max="2" width="13.28125" style="0" customWidth="1"/>
    <col min="3" max="3" width="15.140625" style="0" customWidth="1"/>
    <col min="4" max="4" width="39.421875" style="0" customWidth="1"/>
    <col min="5" max="5" width="20.7109375" style="0" customWidth="1"/>
    <col min="6" max="6" width="19.00390625" style="0" customWidth="1"/>
    <col min="7" max="7" width="19.7109375" style="0" customWidth="1"/>
  </cols>
  <sheetData>
    <row r="2" spans="1:7" ht="12.75">
      <c r="A2" s="55"/>
      <c r="B2" s="55"/>
      <c r="C2" s="55"/>
      <c r="E2" s="55"/>
      <c r="G2" s="191" t="s">
        <v>259</v>
      </c>
    </row>
    <row r="3" spans="1:5" ht="12.75">
      <c r="A3" s="55"/>
      <c r="B3" s="55"/>
      <c r="C3" s="55"/>
      <c r="D3" s="55"/>
      <c r="E3" s="55"/>
    </row>
    <row r="4" spans="1:7" ht="12.75">
      <c r="A4" s="408" t="s">
        <v>1</v>
      </c>
      <c r="B4" s="408"/>
      <c r="C4" s="408"/>
      <c r="D4" s="408"/>
      <c r="E4" s="408"/>
      <c r="F4" s="408"/>
      <c r="G4" s="408"/>
    </row>
    <row r="5" spans="1:7" ht="12.75">
      <c r="A5" s="409" t="s">
        <v>2</v>
      </c>
      <c r="B5" s="409"/>
      <c r="C5" s="409"/>
      <c r="D5" s="409"/>
      <c r="E5" s="409"/>
      <c r="F5" s="409"/>
      <c r="G5" s="409"/>
    </row>
    <row r="6" spans="1:7" ht="12.75">
      <c r="A6" s="409" t="s">
        <v>260</v>
      </c>
      <c r="B6" s="409"/>
      <c r="C6" s="409"/>
      <c r="D6" s="409"/>
      <c r="E6" s="409"/>
      <c r="F6" s="409"/>
      <c r="G6" s="409"/>
    </row>
    <row r="7" spans="1:5" ht="12.75">
      <c r="A7" s="205"/>
      <c r="B7" s="205"/>
      <c r="C7" s="205"/>
      <c r="D7" s="205"/>
      <c r="E7" s="205"/>
    </row>
    <row r="8" spans="5:7" ht="15" customHeight="1">
      <c r="E8" s="421"/>
      <c r="F8" s="421"/>
      <c r="G8" s="421"/>
    </row>
    <row r="9" spans="1:7" ht="15" customHeight="1">
      <c r="A9" s="206"/>
      <c r="B9" s="207"/>
      <c r="C9" s="208"/>
      <c r="D9" s="207"/>
      <c r="E9" s="209"/>
      <c r="F9" s="209"/>
      <c r="G9" s="209"/>
    </row>
    <row r="10" spans="1:7" ht="12.75">
      <c r="A10" s="210" t="s">
        <v>261</v>
      </c>
      <c r="B10" s="211" t="s">
        <v>262</v>
      </c>
      <c r="C10" s="212" t="s">
        <v>263</v>
      </c>
      <c r="D10" s="211" t="s">
        <v>4</v>
      </c>
      <c r="E10" s="213">
        <v>2007</v>
      </c>
      <c r="F10" s="213">
        <v>2008</v>
      </c>
      <c r="G10" s="213">
        <v>2009</v>
      </c>
    </row>
    <row r="11" spans="1:7" ht="12.75">
      <c r="A11" s="214"/>
      <c r="B11" s="215"/>
      <c r="C11" s="216"/>
      <c r="D11" s="215"/>
      <c r="E11" s="217"/>
      <c r="F11" s="217"/>
      <c r="G11" s="217"/>
    </row>
    <row r="12" spans="1:7" ht="12.75">
      <c r="A12" s="206"/>
      <c r="B12" s="208"/>
      <c r="C12" s="208"/>
      <c r="D12" s="207"/>
      <c r="E12" s="207"/>
      <c r="F12" s="209"/>
      <c r="G12" s="209"/>
    </row>
    <row r="13" spans="1:7" ht="12.75">
      <c r="A13" s="218"/>
      <c r="B13" s="20"/>
      <c r="C13" s="20"/>
      <c r="D13" s="219"/>
      <c r="E13" s="219"/>
      <c r="F13" s="220"/>
      <c r="G13" s="220"/>
    </row>
    <row r="14" spans="1:7" ht="12.75">
      <c r="A14" s="221">
        <v>1</v>
      </c>
      <c r="B14" s="222"/>
      <c r="C14" s="222"/>
      <c r="D14" s="223" t="s">
        <v>264</v>
      </c>
      <c r="E14" s="224">
        <f>SUM(E15:E21)</f>
        <v>1794100539</v>
      </c>
      <c r="F14" s="224">
        <f>SUM(F15:F21)</f>
        <v>1731681256</v>
      </c>
      <c r="G14" s="224">
        <f>SUM(G15:G21)</f>
        <v>1788604728</v>
      </c>
    </row>
    <row r="15" spans="1:7" ht="12.75">
      <c r="A15" s="221"/>
      <c r="B15" s="222">
        <v>1</v>
      </c>
      <c r="C15" s="222"/>
      <c r="D15" s="225" t="s">
        <v>265</v>
      </c>
      <c r="E15" s="226">
        <v>88066405</v>
      </c>
      <c r="F15" s="227">
        <v>91815494</v>
      </c>
      <c r="G15" s="227">
        <v>95048891</v>
      </c>
    </row>
    <row r="16" spans="1:7" ht="12.75">
      <c r="A16" s="221"/>
      <c r="B16" s="222">
        <v>2</v>
      </c>
      <c r="C16" s="222"/>
      <c r="D16" s="225" t="s">
        <v>266</v>
      </c>
      <c r="E16" s="226">
        <v>310520500</v>
      </c>
      <c r="F16" s="227">
        <v>324980501</v>
      </c>
      <c r="G16" s="227">
        <v>335912262</v>
      </c>
    </row>
    <row r="17" spans="1:7" ht="12" customHeight="1">
      <c r="A17" s="221"/>
      <c r="B17" s="222">
        <v>3</v>
      </c>
      <c r="C17" s="222"/>
      <c r="D17" s="225" t="s">
        <v>267</v>
      </c>
      <c r="E17" s="226">
        <v>472168902</v>
      </c>
      <c r="F17" s="227">
        <v>378983681</v>
      </c>
      <c r="G17" s="227">
        <v>397513762</v>
      </c>
    </row>
    <row r="18" spans="1:7" ht="12" customHeight="1">
      <c r="A18" s="221"/>
      <c r="B18" s="222">
        <v>5</v>
      </c>
      <c r="C18" s="222"/>
      <c r="D18" s="225" t="s">
        <v>268</v>
      </c>
      <c r="E18" s="226">
        <v>768982500</v>
      </c>
      <c r="F18" s="227">
        <v>786834906</v>
      </c>
      <c r="G18" s="227">
        <v>805301062</v>
      </c>
    </row>
    <row r="19" spans="1:7" ht="12" customHeight="1">
      <c r="A19" s="221"/>
      <c r="B19" s="222">
        <v>6</v>
      </c>
      <c r="C19" s="222"/>
      <c r="D19" s="225" t="s">
        <v>269</v>
      </c>
      <c r="E19" s="226">
        <v>133350488</v>
      </c>
      <c r="F19" s="227">
        <v>127024598</v>
      </c>
      <c r="G19" s="227">
        <v>132007747</v>
      </c>
    </row>
    <row r="20" spans="1:7" ht="12" customHeight="1">
      <c r="A20" s="221"/>
      <c r="B20" s="222">
        <v>7</v>
      </c>
      <c r="C20" s="222"/>
      <c r="D20" s="225" t="s">
        <v>270</v>
      </c>
      <c r="E20" s="226">
        <v>18050700</v>
      </c>
      <c r="F20" s="227">
        <v>18932978</v>
      </c>
      <c r="G20" s="227">
        <v>19599981</v>
      </c>
    </row>
    <row r="21" spans="1:7" ht="12" customHeight="1">
      <c r="A21" s="221"/>
      <c r="B21" s="222">
        <v>8</v>
      </c>
      <c r="C21" s="222"/>
      <c r="D21" s="225" t="s">
        <v>271</v>
      </c>
      <c r="E21" s="226">
        <v>2961044</v>
      </c>
      <c r="F21" s="227">
        <v>3109098</v>
      </c>
      <c r="G21" s="227">
        <v>3221023</v>
      </c>
    </row>
    <row r="22" spans="1:7" ht="12" customHeight="1">
      <c r="A22" s="221"/>
      <c r="B22" s="222"/>
      <c r="C22" s="222"/>
      <c r="D22" s="225"/>
      <c r="E22" s="226"/>
      <c r="F22" s="227"/>
      <c r="G22" s="227"/>
    </row>
    <row r="23" spans="1:7" ht="12" customHeight="1">
      <c r="A23" s="221"/>
      <c r="B23" s="222"/>
      <c r="C23" s="222"/>
      <c r="D23" s="225"/>
      <c r="E23" s="226"/>
      <c r="F23" s="227"/>
      <c r="G23" s="227"/>
    </row>
    <row r="24" spans="1:7" ht="18" customHeight="1">
      <c r="A24" s="221">
        <v>2</v>
      </c>
      <c r="B24" s="222"/>
      <c r="C24" s="222"/>
      <c r="D24" s="223" t="s">
        <v>272</v>
      </c>
      <c r="E24" s="224">
        <f>SUM(E25:E26)</f>
        <v>692616461</v>
      </c>
      <c r="F24" s="224">
        <f>SUM(F25:F26)</f>
        <v>777607764</v>
      </c>
      <c r="G24" s="224">
        <f>SUM(G25:G26)</f>
        <v>779617412</v>
      </c>
    </row>
    <row r="25" spans="1:7" ht="12.75" customHeight="1">
      <c r="A25" s="221"/>
      <c r="B25" s="222">
        <v>1</v>
      </c>
      <c r="C25" s="222"/>
      <c r="D25" s="225" t="s">
        <v>273</v>
      </c>
      <c r="E25" s="226">
        <v>573184288</v>
      </c>
      <c r="F25" s="227">
        <v>591412470</v>
      </c>
      <c r="G25" s="227">
        <v>620684632</v>
      </c>
    </row>
    <row r="26" spans="1:7" ht="12.75">
      <c r="A26" s="221"/>
      <c r="B26" s="222">
        <v>2</v>
      </c>
      <c r="C26" s="222"/>
      <c r="D26" s="225" t="s">
        <v>274</v>
      </c>
      <c r="E26" s="226">
        <v>119432173</v>
      </c>
      <c r="F26" s="227">
        <v>186195294</v>
      </c>
      <c r="G26" s="227">
        <v>158932780</v>
      </c>
    </row>
    <row r="27" spans="1:7" ht="12.75">
      <c r="A27" s="218"/>
      <c r="B27" s="20"/>
      <c r="C27" s="20"/>
      <c r="D27" s="225"/>
      <c r="E27" s="225"/>
      <c r="F27" s="220"/>
      <c r="G27" s="220"/>
    </row>
    <row r="28" spans="1:7" ht="12.75">
      <c r="A28" s="218"/>
      <c r="B28" s="20"/>
      <c r="C28" s="20"/>
      <c r="D28" s="225"/>
      <c r="E28" s="225"/>
      <c r="F28" s="220"/>
      <c r="G28" s="220"/>
    </row>
    <row r="29" spans="1:7" ht="12.75">
      <c r="A29" s="221">
        <v>3</v>
      </c>
      <c r="B29" s="222"/>
      <c r="C29" s="222"/>
      <c r="D29" s="223" t="s">
        <v>275</v>
      </c>
      <c r="E29" s="224">
        <f>SUM(E30:E33)+E41+E42+E43+E44+E40</f>
        <v>4920396026</v>
      </c>
      <c r="F29" s="224">
        <f>SUM(F30:F33)+F41+F42+F43+F44+F40</f>
        <v>5392032886</v>
      </c>
      <c r="G29" s="224">
        <f>SUM(G30:G33)+G41+G42+G43+G44+G40</f>
        <v>5847449685</v>
      </c>
    </row>
    <row r="30" spans="1:7" ht="12.75">
      <c r="A30" s="221"/>
      <c r="B30" s="222">
        <v>1</v>
      </c>
      <c r="C30" s="222"/>
      <c r="D30" s="225" t="s">
        <v>276</v>
      </c>
      <c r="E30" s="226">
        <v>616576024</v>
      </c>
      <c r="F30" s="227">
        <v>629757848</v>
      </c>
      <c r="G30" s="227">
        <v>670961092</v>
      </c>
    </row>
    <row r="31" spans="1:7" ht="12.75">
      <c r="A31" s="221"/>
      <c r="B31" s="222">
        <v>2</v>
      </c>
      <c r="C31" s="222"/>
      <c r="D31" s="225" t="s">
        <v>277</v>
      </c>
      <c r="E31" s="226">
        <v>302529363</v>
      </c>
      <c r="F31" s="227">
        <v>319290554</v>
      </c>
      <c r="G31" s="227">
        <v>363090622</v>
      </c>
    </row>
    <row r="32" spans="1:7" ht="12.75">
      <c r="A32" s="221"/>
      <c r="B32" s="222">
        <v>3</v>
      </c>
      <c r="C32" s="222"/>
      <c r="D32" s="225" t="s">
        <v>278</v>
      </c>
      <c r="E32" s="226">
        <v>1404523749</v>
      </c>
      <c r="F32" s="227">
        <v>1476675048</v>
      </c>
      <c r="G32" s="227">
        <v>1524039219</v>
      </c>
    </row>
    <row r="33" spans="1:7" ht="12.75">
      <c r="A33" s="221"/>
      <c r="B33" s="222">
        <v>4</v>
      </c>
      <c r="C33" s="222"/>
      <c r="D33" s="225" t="s">
        <v>279</v>
      </c>
      <c r="E33" s="226">
        <v>2106332887</v>
      </c>
      <c r="F33" s="226">
        <v>2383902816</v>
      </c>
      <c r="G33" s="226">
        <v>2650558905</v>
      </c>
    </row>
    <row r="34" spans="1:7" ht="12.75" hidden="1">
      <c r="A34" s="221"/>
      <c r="B34" s="222"/>
      <c r="C34" s="222">
        <v>1</v>
      </c>
      <c r="D34" s="225" t="s">
        <v>280</v>
      </c>
      <c r="E34" s="226"/>
      <c r="F34" s="227"/>
      <c r="G34" s="227"/>
    </row>
    <row r="35" spans="1:7" ht="12.75" hidden="1">
      <c r="A35" s="221"/>
      <c r="B35" s="222"/>
      <c r="C35" s="222">
        <v>2</v>
      </c>
      <c r="D35" s="225" t="s">
        <v>281</v>
      </c>
      <c r="E35" s="226"/>
      <c r="F35" s="227"/>
      <c r="G35" s="227"/>
    </row>
    <row r="36" spans="1:7" ht="12.75" hidden="1">
      <c r="A36" s="221"/>
      <c r="B36" s="222"/>
      <c r="C36" s="222">
        <v>3</v>
      </c>
      <c r="D36" s="225" t="s">
        <v>282</v>
      </c>
      <c r="E36" s="226"/>
      <c r="F36" s="227"/>
      <c r="G36" s="227"/>
    </row>
    <row r="37" spans="1:7" ht="12.75" hidden="1">
      <c r="A37" s="221"/>
      <c r="B37" s="222"/>
      <c r="C37" s="222">
        <v>4</v>
      </c>
      <c r="D37" s="225" t="s">
        <v>283</v>
      </c>
      <c r="E37" s="226"/>
      <c r="F37" s="227"/>
      <c r="G37" s="227"/>
    </row>
    <row r="38" spans="1:7" ht="12.75" hidden="1">
      <c r="A38" s="221"/>
      <c r="B38" s="222"/>
      <c r="C38" s="222">
        <v>5</v>
      </c>
      <c r="D38" s="228" t="s">
        <v>284</v>
      </c>
      <c r="E38" s="226"/>
      <c r="F38" s="227"/>
      <c r="G38" s="227"/>
    </row>
    <row r="39" spans="1:7" ht="12.75" hidden="1">
      <c r="A39" s="221"/>
      <c r="B39" s="222"/>
      <c r="C39" s="222">
        <v>6</v>
      </c>
      <c r="D39" s="225" t="s">
        <v>285</v>
      </c>
      <c r="E39" s="226"/>
      <c r="F39" s="227"/>
      <c r="G39" s="227"/>
    </row>
    <row r="40" spans="1:7" ht="12.75">
      <c r="A40" s="221"/>
      <c r="B40" s="222">
        <v>5</v>
      </c>
      <c r="C40" s="222"/>
      <c r="D40" s="225" t="s">
        <v>286</v>
      </c>
      <c r="E40" s="226">
        <v>4850000</v>
      </c>
      <c r="F40" s="227">
        <v>5850000</v>
      </c>
      <c r="G40" s="227">
        <v>6850000</v>
      </c>
    </row>
    <row r="41" spans="1:7" ht="12.75">
      <c r="A41" s="221"/>
      <c r="B41" s="222">
        <v>6</v>
      </c>
      <c r="C41" s="222"/>
      <c r="D41" s="225" t="s">
        <v>287</v>
      </c>
      <c r="E41" s="226">
        <v>8251717</v>
      </c>
      <c r="F41" s="227">
        <v>8599421</v>
      </c>
      <c r="G41" s="227">
        <v>8862288</v>
      </c>
    </row>
    <row r="42" spans="1:7" ht="12.75">
      <c r="A42" s="221"/>
      <c r="B42" s="222">
        <v>7</v>
      </c>
      <c r="C42" s="222"/>
      <c r="D42" s="225" t="s">
        <v>288</v>
      </c>
      <c r="E42" s="226">
        <v>368166741</v>
      </c>
      <c r="F42" s="227">
        <v>370636191</v>
      </c>
      <c r="G42" s="229">
        <v>372096191</v>
      </c>
    </row>
    <row r="43" spans="1:7" ht="12.75">
      <c r="A43" s="221"/>
      <c r="B43" s="222">
        <v>8</v>
      </c>
      <c r="C43" s="222"/>
      <c r="D43" s="225" t="s">
        <v>289</v>
      </c>
      <c r="E43" s="226">
        <v>108403545</v>
      </c>
      <c r="F43" s="227">
        <v>196825508</v>
      </c>
      <c r="G43" s="227">
        <v>250828198</v>
      </c>
    </row>
    <row r="44" spans="1:7" ht="12.75">
      <c r="A44" s="221"/>
      <c r="B44" s="222">
        <v>9</v>
      </c>
      <c r="C44" s="222"/>
      <c r="D44" s="225" t="s">
        <v>290</v>
      </c>
      <c r="E44" s="226">
        <v>762000</v>
      </c>
      <c r="F44" s="227">
        <v>495500</v>
      </c>
      <c r="G44" s="227">
        <v>163170</v>
      </c>
    </row>
    <row r="45" spans="1:7" ht="12.75">
      <c r="A45" s="221"/>
      <c r="B45" s="222"/>
      <c r="C45" s="222"/>
      <c r="D45" s="225"/>
      <c r="E45" s="226"/>
      <c r="F45" s="227"/>
      <c r="G45" s="227"/>
    </row>
    <row r="46" spans="1:7" ht="12.75">
      <c r="A46" s="221"/>
      <c r="B46" s="222"/>
      <c r="C46" s="222"/>
      <c r="D46" s="225"/>
      <c r="E46" s="226"/>
      <c r="F46" s="227"/>
      <c r="G46" s="227"/>
    </row>
    <row r="47" spans="1:7" ht="12.75">
      <c r="A47" s="221">
        <v>4</v>
      </c>
      <c r="B47" s="222"/>
      <c r="C47" s="222"/>
      <c r="D47" s="223" t="s">
        <v>291</v>
      </c>
      <c r="E47" s="224">
        <f>SUM(E48:E54)</f>
        <v>635232254</v>
      </c>
      <c r="F47" s="224">
        <f>SUM(F48:F54)</f>
        <v>753147095</v>
      </c>
      <c r="G47" s="224">
        <f>SUM(G48:G54)</f>
        <v>803803653</v>
      </c>
    </row>
    <row r="48" spans="1:7" ht="12.75">
      <c r="A48" s="221"/>
      <c r="B48" s="222">
        <v>2</v>
      </c>
      <c r="C48" s="222"/>
      <c r="D48" s="230" t="s">
        <v>292</v>
      </c>
      <c r="E48" s="231">
        <v>57100</v>
      </c>
      <c r="F48" s="232">
        <v>57100</v>
      </c>
      <c r="G48" s="232">
        <v>57100</v>
      </c>
    </row>
    <row r="49" spans="1:7" ht="12.75">
      <c r="A49" s="221"/>
      <c r="B49" s="222">
        <v>3</v>
      </c>
      <c r="C49" s="222"/>
      <c r="D49" s="225" t="s">
        <v>293</v>
      </c>
      <c r="E49" s="226">
        <v>532833313</v>
      </c>
      <c r="F49" s="227">
        <v>639672423</v>
      </c>
      <c r="G49" s="227">
        <v>663626303</v>
      </c>
    </row>
    <row r="50" spans="1:7" ht="12.75">
      <c r="A50" s="221"/>
      <c r="B50" s="222">
        <v>4</v>
      </c>
      <c r="C50" s="222"/>
      <c r="D50" s="225" t="s">
        <v>294</v>
      </c>
      <c r="E50" s="226">
        <v>9318714</v>
      </c>
      <c r="F50" s="227">
        <v>10681805</v>
      </c>
      <c r="G50" s="227">
        <v>11962347</v>
      </c>
    </row>
    <row r="51" spans="1:7" ht="12.75">
      <c r="A51" s="221"/>
      <c r="B51" s="222">
        <v>5</v>
      </c>
      <c r="C51" s="222"/>
      <c r="D51" s="225" t="s">
        <v>295</v>
      </c>
      <c r="E51" s="226">
        <v>16575049</v>
      </c>
      <c r="F51" s="227">
        <v>26264558</v>
      </c>
      <c r="G51" s="227">
        <v>32023396</v>
      </c>
    </row>
    <row r="52" spans="1:7" ht="12.75">
      <c r="A52" s="221"/>
      <c r="B52" s="222">
        <v>6</v>
      </c>
      <c r="C52" s="222"/>
      <c r="D52" s="225" t="s">
        <v>296</v>
      </c>
      <c r="E52" s="226">
        <v>11993410</v>
      </c>
      <c r="F52" s="227">
        <v>9121612</v>
      </c>
      <c r="G52" s="227">
        <v>9267673</v>
      </c>
    </row>
    <row r="53" spans="1:7" ht="12.75">
      <c r="A53" s="221"/>
      <c r="B53" s="222">
        <v>7</v>
      </c>
      <c r="C53" s="222"/>
      <c r="D53" s="225" t="s">
        <v>297</v>
      </c>
      <c r="E53" s="226">
        <v>28596822</v>
      </c>
      <c r="F53" s="227">
        <v>17958418</v>
      </c>
      <c r="G53" s="227">
        <v>18386765</v>
      </c>
    </row>
    <row r="54" spans="1:7" ht="12.75">
      <c r="A54" s="221"/>
      <c r="B54" s="222">
        <v>8</v>
      </c>
      <c r="C54" s="222"/>
      <c r="D54" s="225" t="s">
        <v>298</v>
      </c>
      <c r="E54" s="226">
        <v>35857846</v>
      </c>
      <c r="F54" s="227">
        <v>49391179</v>
      </c>
      <c r="G54" s="227">
        <v>68480069</v>
      </c>
    </row>
    <row r="55" spans="1:7" ht="12.75">
      <c r="A55" s="221"/>
      <c r="B55" s="222"/>
      <c r="C55" s="222"/>
      <c r="D55" s="225"/>
      <c r="E55" s="226"/>
      <c r="F55" s="227"/>
      <c r="G55" s="227"/>
    </row>
    <row r="56" spans="1:7" ht="12.75">
      <c r="A56" s="221"/>
      <c r="B56" s="222"/>
      <c r="C56" s="222"/>
      <c r="D56" s="225"/>
      <c r="E56" s="226"/>
      <c r="F56" s="227"/>
      <c r="G56" s="227"/>
    </row>
    <row r="57" spans="1:7" ht="12.75">
      <c r="A57" s="221">
        <v>5</v>
      </c>
      <c r="B57" s="222"/>
      <c r="C57" s="20"/>
      <c r="D57" s="223" t="s">
        <v>299</v>
      </c>
      <c r="E57" s="224">
        <f>+E58</f>
        <v>105182101</v>
      </c>
      <c r="F57" s="233">
        <f>+F58</f>
        <v>109956733</v>
      </c>
      <c r="G57" s="233">
        <f>+G58</f>
        <v>112936323</v>
      </c>
    </row>
    <row r="58" spans="1:7" ht="12.75">
      <c r="A58" s="221"/>
      <c r="B58" s="222">
        <v>1</v>
      </c>
      <c r="C58" s="20"/>
      <c r="D58" s="225" t="s">
        <v>300</v>
      </c>
      <c r="E58" s="226">
        <v>105182101</v>
      </c>
      <c r="F58" s="227">
        <v>109956733</v>
      </c>
      <c r="G58" s="227">
        <v>112936323</v>
      </c>
    </row>
    <row r="59" spans="1:7" ht="12.75">
      <c r="A59" s="218"/>
      <c r="B59" s="20"/>
      <c r="C59" s="20"/>
      <c r="D59" s="225"/>
      <c r="E59" s="226"/>
      <c r="F59" s="227"/>
      <c r="G59" s="227"/>
    </row>
    <row r="60" spans="1:7" ht="12.75">
      <c r="A60" s="218"/>
      <c r="B60" s="20"/>
      <c r="C60" s="20"/>
      <c r="D60" s="223"/>
      <c r="E60" s="224"/>
      <c r="F60" s="233"/>
      <c r="G60" s="233"/>
    </row>
    <row r="61" spans="1:7" ht="12.75">
      <c r="A61" s="218"/>
      <c r="B61" s="20"/>
      <c r="C61" s="20"/>
      <c r="D61" s="225"/>
      <c r="E61" s="226"/>
      <c r="F61" s="227"/>
      <c r="G61" s="227"/>
    </row>
    <row r="62" spans="1:7" ht="12.75">
      <c r="A62" s="218"/>
      <c r="B62" s="20"/>
      <c r="C62" s="20"/>
      <c r="D62" s="225"/>
      <c r="E62" s="226"/>
      <c r="F62" s="227"/>
      <c r="G62" s="227"/>
    </row>
    <row r="63" spans="1:7" ht="12.75">
      <c r="A63" s="206"/>
      <c r="B63" s="208"/>
      <c r="C63" s="208"/>
      <c r="D63" s="207"/>
      <c r="E63" s="234"/>
      <c r="F63" s="235"/>
      <c r="G63" s="235"/>
    </row>
    <row r="64" spans="1:7" ht="12.75">
      <c r="A64" s="218"/>
      <c r="B64" s="20"/>
      <c r="C64" s="20"/>
      <c r="D64" s="223" t="s">
        <v>62</v>
      </c>
      <c r="E64" s="224">
        <f>+E57+E47+E29+E24+E14</f>
        <v>8147527381</v>
      </c>
      <c r="F64" s="224">
        <f>+F57+F47+F29+F24+F14</f>
        <v>8764425734</v>
      </c>
      <c r="G64" s="224">
        <f>+G57+G47+G29+G24+G14</f>
        <v>9332411801</v>
      </c>
    </row>
    <row r="65" spans="1:7" ht="12.75">
      <c r="A65" s="214"/>
      <c r="B65" s="216"/>
      <c r="C65" s="216"/>
      <c r="D65" s="215"/>
      <c r="E65" s="236"/>
      <c r="F65" s="237"/>
      <c r="G65" s="237"/>
    </row>
    <row r="67" ht="12.75">
      <c r="F67" s="238"/>
    </row>
    <row r="68" spans="5:7" ht="12.75">
      <c r="E68" s="238"/>
      <c r="G68" s="238"/>
    </row>
    <row r="69" ht="12.75">
      <c r="A69" s="239"/>
    </row>
  </sheetData>
  <mergeCells count="4">
    <mergeCell ref="A4:G4"/>
    <mergeCell ref="A5:G5"/>
    <mergeCell ref="A6:G6"/>
    <mergeCell ref="E8:G8"/>
  </mergeCells>
  <printOptions/>
  <pageMargins left="1.1811023622047245" right="0.5905511811023623" top="1.7716535433070868" bottom="1.062992125984252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INTERLATIN</dc:creator>
  <cp:keywords/>
  <dc:description/>
  <cp:lastModifiedBy>Dir. Gral. de Finanzas</cp:lastModifiedBy>
  <cp:lastPrinted>2007-01-29T15:56:47Z</cp:lastPrinted>
  <dcterms:created xsi:type="dcterms:W3CDTF">2001-12-05T12:40:58Z</dcterms:created>
  <dcterms:modified xsi:type="dcterms:W3CDTF">2006-11-13T12:48:08Z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